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Data" sheetId="1" r:id="rId1"/>
    <sheet name="Summary" sheetId="2" r:id="rId2"/>
    <sheet name="Lookups" sheetId="3" r:id="rId3"/>
  </sheets>
  <definedNames>
    <definedName name="_xlnm._FilterDatabase" localSheetId="0" hidden="1">Data!$A$2:$T$199</definedName>
  </definedNames>
  <calcPr calcId="144525"/>
</workbook>
</file>

<file path=xl/calcChain.xml><?xml version="1.0" encoding="utf-8"?>
<calcChain xmlns="http://schemas.openxmlformats.org/spreadsheetml/2006/main">
  <c r="B199" i="1" l="1"/>
  <c r="H185" i="1"/>
  <c r="L185" i="1"/>
  <c r="M185" i="1" s="1"/>
  <c r="N185" i="1" s="1"/>
  <c r="H176" i="1"/>
  <c r="L176" i="1"/>
  <c r="M176" i="1" s="1"/>
  <c r="N176" i="1" s="1"/>
  <c r="L171" i="1"/>
  <c r="M171" i="1" s="1"/>
  <c r="N171" i="1" s="1"/>
  <c r="H171" i="1"/>
  <c r="H154" i="1"/>
  <c r="L154" i="1"/>
  <c r="M154" i="1" s="1"/>
  <c r="N154" i="1" s="1"/>
  <c r="F151" i="1"/>
  <c r="F196" i="1" s="1"/>
  <c r="L80" i="1"/>
  <c r="M80" i="1" s="1"/>
  <c r="N80" i="1" s="1"/>
  <c r="H80" i="1"/>
  <c r="L73" i="1"/>
  <c r="H73" i="1"/>
  <c r="H59" i="1"/>
  <c r="L59" i="1"/>
  <c r="M59" i="1" s="1"/>
  <c r="N59" i="1" s="1"/>
  <c r="M73" i="1" l="1"/>
  <c r="N73" i="1" s="1"/>
  <c r="L200" i="1"/>
  <c r="H179" i="1"/>
  <c r="L179" i="1"/>
  <c r="H172" i="1"/>
  <c r="L172" i="1"/>
  <c r="H152" i="1"/>
  <c r="L152" i="1"/>
  <c r="H151" i="1"/>
  <c r="L151" i="1"/>
  <c r="H140" i="1"/>
  <c r="L140" i="1"/>
  <c r="H125" i="1"/>
  <c r="L125" i="1"/>
  <c r="H116" i="1"/>
  <c r="L116" i="1"/>
  <c r="H112" i="1"/>
  <c r="L112" i="1"/>
  <c r="L103" i="1"/>
  <c r="H103" i="1"/>
  <c r="L97" i="1"/>
  <c r="H97" i="1"/>
  <c r="H89" i="1"/>
  <c r="L89" i="1"/>
  <c r="L71" i="1"/>
  <c r="H71" i="1"/>
  <c r="L5" i="1"/>
  <c r="M5" i="1" s="1"/>
  <c r="N5" i="1" s="1"/>
  <c r="L195" i="1"/>
  <c r="M195" i="1" s="1"/>
  <c r="N195" i="1" s="1"/>
  <c r="L194" i="1"/>
  <c r="L193" i="1"/>
  <c r="L192" i="1"/>
  <c r="M192" i="1" s="1"/>
  <c r="N192" i="1" s="1"/>
  <c r="L191" i="1"/>
  <c r="L190" i="1"/>
  <c r="L189" i="1"/>
  <c r="M189" i="1" s="1"/>
  <c r="N189" i="1" s="1"/>
  <c r="L188" i="1"/>
  <c r="L187" i="1"/>
  <c r="L186" i="1"/>
  <c r="L184" i="1"/>
  <c r="L183" i="1"/>
  <c r="L182" i="1"/>
  <c r="M182" i="1" s="1"/>
  <c r="N182" i="1" s="1"/>
  <c r="L181" i="1"/>
  <c r="M181" i="1" s="1"/>
  <c r="N181" i="1" s="1"/>
  <c r="L180" i="1"/>
  <c r="L178" i="1"/>
  <c r="L177" i="1"/>
  <c r="L175" i="1"/>
  <c r="L174" i="1"/>
  <c r="M174" i="1" s="1"/>
  <c r="N174" i="1" s="1"/>
  <c r="L173" i="1"/>
  <c r="M173" i="1" s="1"/>
  <c r="N173" i="1" s="1"/>
  <c r="L170" i="1"/>
  <c r="M170" i="1" s="1"/>
  <c r="N170" i="1" s="1"/>
  <c r="L169" i="1"/>
  <c r="M169" i="1" s="1"/>
  <c r="N169" i="1" s="1"/>
  <c r="L168" i="1"/>
  <c r="L167" i="1"/>
  <c r="M167" i="1" s="1"/>
  <c r="N167" i="1" s="1"/>
  <c r="L166" i="1"/>
  <c r="M166" i="1" s="1"/>
  <c r="N166" i="1" s="1"/>
  <c r="L165" i="1"/>
  <c r="M165" i="1" s="1"/>
  <c r="N165" i="1" s="1"/>
  <c r="L164" i="1"/>
  <c r="M164" i="1" s="1"/>
  <c r="N164" i="1" s="1"/>
  <c r="L163" i="1"/>
  <c r="M163" i="1" s="1"/>
  <c r="N163" i="1" s="1"/>
  <c r="L161" i="1"/>
  <c r="L160" i="1"/>
  <c r="M160" i="1" s="1"/>
  <c r="N160" i="1" s="1"/>
  <c r="L159" i="1"/>
  <c r="M159" i="1" s="1"/>
  <c r="N159" i="1" s="1"/>
  <c r="L158" i="1"/>
  <c r="M158" i="1" s="1"/>
  <c r="N158" i="1" s="1"/>
  <c r="L157" i="1"/>
  <c r="L156" i="1"/>
  <c r="L155" i="1"/>
  <c r="L153" i="1"/>
  <c r="M153" i="1" s="1"/>
  <c r="N153" i="1" s="1"/>
  <c r="L150" i="1"/>
  <c r="L149" i="1"/>
  <c r="M149" i="1" s="1"/>
  <c r="N149" i="1" s="1"/>
  <c r="L148" i="1"/>
  <c r="L147" i="1"/>
  <c r="M147" i="1" s="1"/>
  <c r="N147" i="1" s="1"/>
  <c r="L146" i="1"/>
  <c r="L145" i="1"/>
  <c r="L144" i="1"/>
  <c r="M144" i="1" s="1"/>
  <c r="N144" i="1" s="1"/>
  <c r="L143" i="1"/>
  <c r="M143" i="1" s="1"/>
  <c r="N143" i="1" s="1"/>
  <c r="L142" i="1"/>
  <c r="M142" i="1" s="1"/>
  <c r="N142" i="1" s="1"/>
  <c r="L141" i="1"/>
  <c r="M141" i="1" s="1"/>
  <c r="N141" i="1" s="1"/>
  <c r="L139" i="1"/>
  <c r="L138" i="1"/>
  <c r="M138" i="1" s="1"/>
  <c r="N138" i="1" s="1"/>
  <c r="L137" i="1"/>
  <c r="L136" i="1"/>
  <c r="M136" i="1" s="1"/>
  <c r="N136" i="1" s="1"/>
  <c r="L135" i="1"/>
  <c r="L134" i="1"/>
  <c r="L133" i="1"/>
  <c r="L132" i="1"/>
  <c r="L131" i="1"/>
  <c r="M131" i="1" s="1"/>
  <c r="N131" i="1" s="1"/>
  <c r="L130" i="1"/>
  <c r="M130" i="1" s="1"/>
  <c r="N130" i="1" s="1"/>
  <c r="L129" i="1"/>
  <c r="L128" i="1"/>
  <c r="M128" i="1" s="1"/>
  <c r="N128" i="1" s="1"/>
  <c r="L127" i="1"/>
  <c r="M127" i="1" s="1"/>
  <c r="N127" i="1" s="1"/>
  <c r="L126" i="1"/>
  <c r="M126" i="1" s="1"/>
  <c r="N126" i="1" s="1"/>
  <c r="L124" i="1"/>
  <c r="L123" i="1"/>
  <c r="L122" i="1"/>
  <c r="M122" i="1" s="1"/>
  <c r="N122" i="1" s="1"/>
  <c r="L121" i="1"/>
  <c r="M121" i="1" s="1"/>
  <c r="N121" i="1" s="1"/>
  <c r="L120" i="1"/>
  <c r="M120" i="1" s="1"/>
  <c r="N120" i="1" s="1"/>
  <c r="L119" i="1"/>
  <c r="L118" i="1"/>
  <c r="L117" i="1"/>
  <c r="M117" i="1" s="1"/>
  <c r="N117" i="1" s="1"/>
  <c r="L115" i="1"/>
  <c r="M115" i="1" s="1"/>
  <c r="N115" i="1" s="1"/>
  <c r="L114" i="1"/>
  <c r="L113" i="1"/>
  <c r="L111" i="1"/>
  <c r="M111" i="1" s="1"/>
  <c r="N111" i="1" s="1"/>
  <c r="L110" i="1"/>
  <c r="M110" i="1" s="1"/>
  <c r="N110" i="1" s="1"/>
  <c r="L109" i="1"/>
  <c r="M109" i="1" s="1"/>
  <c r="N109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L104" i="1"/>
  <c r="M104" i="1" s="1"/>
  <c r="N104" i="1" s="1"/>
  <c r="L102" i="1"/>
  <c r="L101" i="1"/>
  <c r="M101" i="1" s="1"/>
  <c r="N101" i="1" s="1"/>
  <c r="L100" i="1"/>
  <c r="L99" i="1"/>
  <c r="L98" i="1"/>
  <c r="L96" i="1"/>
  <c r="L95" i="1"/>
  <c r="M95" i="1" s="1"/>
  <c r="N95" i="1" s="1"/>
  <c r="L94" i="1"/>
  <c r="L93" i="1"/>
  <c r="L92" i="1"/>
  <c r="L91" i="1"/>
  <c r="M91" i="1" s="1"/>
  <c r="N91" i="1" s="1"/>
  <c r="L90" i="1"/>
  <c r="L88" i="1"/>
  <c r="M88" i="1" s="1"/>
  <c r="N88" i="1" s="1"/>
  <c r="L87" i="1"/>
  <c r="M87" i="1" s="1"/>
  <c r="N87" i="1" s="1"/>
  <c r="L86" i="1"/>
  <c r="M86" i="1" s="1"/>
  <c r="N86" i="1" s="1"/>
  <c r="L85" i="1"/>
  <c r="M85" i="1" s="1"/>
  <c r="N85" i="1" s="1"/>
  <c r="L84" i="1"/>
  <c r="M84" i="1" s="1"/>
  <c r="N84" i="1" s="1"/>
  <c r="L83" i="1"/>
  <c r="L82" i="1"/>
  <c r="L81" i="1"/>
  <c r="M81" i="1" s="1"/>
  <c r="N81" i="1" s="1"/>
  <c r="L79" i="1"/>
  <c r="M79" i="1" s="1"/>
  <c r="N79" i="1" s="1"/>
  <c r="L78" i="1"/>
  <c r="L77" i="1"/>
  <c r="L76" i="1"/>
  <c r="L75" i="1"/>
  <c r="L74" i="1"/>
  <c r="L72" i="1"/>
  <c r="M72" i="1" s="1"/>
  <c r="N72" i="1" s="1"/>
  <c r="L70" i="1"/>
  <c r="L69" i="1"/>
  <c r="L68" i="1"/>
  <c r="M68" i="1" s="1"/>
  <c r="N68" i="1" s="1"/>
  <c r="L67" i="1"/>
  <c r="L66" i="1"/>
  <c r="L65" i="1"/>
  <c r="M65" i="1" s="1"/>
  <c r="N65" i="1" s="1"/>
  <c r="L64" i="1"/>
  <c r="M64" i="1" s="1"/>
  <c r="N64" i="1" s="1"/>
  <c r="L63" i="1"/>
  <c r="M63" i="1" s="1"/>
  <c r="N63" i="1" s="1"/>
  <c r="L62" i="1"/>
  <c r="M62" i="1" s="1"/>
  <c r="N62" i="1" s="1"/>
  <c r="L61" i="1"/>
  <c r="L60" i="1"/>
  <c r="L58" i="1"/>
  <c r="M58" i="1" s="1"/>
  <c r="N58" i="1" s="1"/>
  <c r="L57" i="1"/>
  <c r="M57" i="1" s="1"/>
  <c r="N57" i="1" s="1"/>
  <c r="L56" i="1"/>
  <c r="L55" i="1"/>
  <c r="L54" i="1"/>
  <c r="M54" i="1" s="1"/>
  <c r="N54" i="1" s="1"/>
  <c r="L53" i="1"/>
  <c r="M53" i="1" s="1"/>
  <c r="N53" i="1" s="1"/>
  <c r="L52" i="1"/>
  <c r="L51" i="1"/>
  <c r="M51" i="1" s="1"/>
  <c r="N51" i="1" s="1"/>
  <c r="L50" i="1"/>
  <c r="M50" i="1" s="1"/>
  <c r="N50" i="1" s="1"/>
  <c r="L49" i="1"/>
  <c r="L48" i="1"/>
  <c r="L47" i="1"/>
  <c r="L46" i="1"/>
  <c r="M46" i="1" s="1"/>
  <c r="N46" i="1" s="1"/>
  <c r="L45" i="1"/>
  <c r="L44" i="1"/>
  <c r="L43" i="1"/>
  <c r="L42" i="1"/>
  <c r="L41" i="1"/>
  <c r="M41" i="1" s="1"/>
  <c r="N41" i="1" s="1"/>
  <c r="L40" i="1"/>
  <c r="L39" i="1"/>
  <c r="L38" i="1"/>
  <c r="L37" i="1"/>
  <c r="M37" i="1" s="1"/>
  <c r="N37" i="1" s="1"/>
  <c r="L36" i="1"/>
  <c r="M36" i="1" s="1"/>
  <c r="N36" i="1" s="1"/>
  <c r="L35" i="1"/>
  <c r="L34" i="1"/>
  <c r="M34" i="1" s="1"/>
  <c r="N34" i="1" s="1"/>
  <c r="L33" i="1"/>
  <c r="M33" i="1" s="1"/>
  <c r="N33" i="1" s="1"/>
  <c r="L32" i="1"/>
  <c r="L31" i="1"/>
  <c r="M31" i="1" s="1"/>
  <c r="N31" i="1" s="1"/>
  <c r="L30" i="1"/>
  <c r="L29" i="1"/>
  <c r="L28" i="1"/>
  <c r="M28" i="1" s="1"/>
  <c r="N28" i="1" s="1"/>
  <c r="L27" i="1"/>
  <c r="L26" i="1"/>
  <c r="L25" i="1"/>
  <c r="L24" i="1"/>
  <c r="L23" i="1"/>
  <c r="M23" i="1" s="1"/>
  <c r="N23" i="1" s="1"/>
  <c r="L22" i="1"/>
  <c r="M22" i="1" s="1"/>
  <c r="N22" i="1" s="1"/>
  <c r="L21" i="1"/>
  <c r="M21" i="1" s="1"/>
  <c r="N21" i="1" s="1"/>
  <c r="L20" i="1"/>
  <c r="L19" i="1"/>
  <c r="L18" i="1"/>
  <c r="L17" i="1"/>
  <c r="M17" i="1" s="1"/>
  <c r="N17" i="1" s="1"/>
  <c r="L16" i="1"/>
  <c r="M16" i="1" s="1"/>
  <c r="N16" i="1" s="1"/>
  <c r="L15" i="1"/>
  <c r="L14" i="1"/>
  <c r="L13" i="1"/>
  <c r="L12" i="1"/>
  <c r="M12" i="1" s="1"/>
  <c r="N12" i="1" s="1"/>
  <c r="L11" i="1"/>
  <c r="L10" i="1"/>
  <c r="M10" i="1" s="1"/>
  <c r="N10" i="1" s="1"/>
  <c r="L9" i="1"/>
  <c r="M9" i="1" s="1"/>
  <c r="N9" i="1" s="1"/>
  <c r="L8" i="1"/>
  <c r="L7" i="1"/>
  <c r="M7" i="1" s="1"/>
  <c r="N7" i="1" s="1"/>
  <c r="L6" i="1"/>
  <c r="L4" i="1"/>
  <c r="M172" i="1" l="1"/>
  <c r="N172" i="1" s="1"/>
  <c r="M152" i="1"/>
  <c r="N152" i="1" s="1"/>
  <c r="M179" i="1"/>
  <c r="N179" i="1" s="1"/>
  <c r="M116" i="1"/>
  <c r="N116" i="1" s="1"/>
  <c r="M140" i="1"/>
  <c r="N140" i="1" s="1"/>
  <c r="M125" i="1"/>
  <c r="N125" i="1" s="1"/>
  <c r="M151" i="1"/>
  <c r="N151" i="1" s="1"/>
  <c r="M71" i="1"/>
  <c r="N71" i="1" s="1"/>
  <c r="M97" i="1"/>
  <c r="N97" i="1" s="1"/>
  <c r="M103" i="1"/>
  <c r="N103" i="1" s="1"/>
  <c r="M112" i="1"/>
  <c r="N112" i="1" s="1"/>
  <c r="M89" i="1"/>
  <c r="N89" i="1" s="1"/>
  <c r="H123" i="1"/>
  <c r="M123" i="1" s="1"/>
  <c r="N123" i="1" s="1"/>
  <c r="H77" i="1"/>
  <c r="M77" i="1" s="1"/>
  <c r="N77" i="1" s="1"/>
  <c r="H180" i="1"/>
  <c r="M180" i="1" s="1"/>
  <c r="N180" i="1" s="1"/>
  <c r="I196" i="1"/>
  <c r="B22" i="2"/>
  <c r="K196" i="1" l="1"/>
  <c r="L196" i="1"/>
  <c r="L198" i="1" s="1"/>
  <c r="H78" i="1"/>
  <c r="M78" i="1" s="1"/>
  <c r="N78" i="1" s="1"/>
  <c r="G193" i="1" l="1"/>
  <c r="G188" i="1"/>
  <c r="G164" i="1"/>
  <c r="G57" i="1"/>
  <c r="H136" i="1"/>
  <c r="G166" i="1" l="1"/>
  <c r="G131" i="1"/>
  <c r="G91" i="1"/>
  <c r="G86" i="1"/>
  <c r="G72" i="1"/>
  <c r="G53" i="1"/>
  <c r="G34" i="1"/>
  <c r="G33" i="1"/>
  <c r="H187" i="1"/>
  <c r="M187" i="1" s="1"/>
  <c r="N187" i="1" s="1"/>
  <c r="H153" i="1"/>
  <c r="H121" i="1"/>
  <c r="H100" i="1"/>
  <c r="M100" i="1" s="1"/>
  <c r="N100" i="1" s="1"/>
  <c r="H64" i="1"/>
  <c r="H58" i="1"/>
  <c r="H54" i="1"/>
  <c r="H67" i="1"/>
  <c r="M67" i="1" s="1"/>
  <c r="N67" i="1" s="1"/>
  <c r="H66" i="1"/>
  <c r="M66" i="1" s="1"/>
  <c r="N66" i="1" s="1"/>
  <c r="H6" i="1" l="1"/>
  <c r="M6" i="1" s="1"/>
  <c r="N6" i="1" s="1"/>
  <c r="H7" i="1"/>
  <c r="H8" i="1"/>
  <c r="M8" i="1" s="1"/>
  <c r="N8" i="1" s="1"/>
  <c r="H9" i="1"/>
  <c r="H10" i="1"/>
  <c r="H11" i="1"/>
  <c r="M11" i="1" s="1"/>
  <c r="N11" i="1" s="1"/>
  <c r="H12" i="1"/>
  <c r="H13" i="1"/>
  <c r="M13" i="1" s="1"/>
  <c r="N13" i="1" s="1"/>
  <c r="H14" i="1"/>
  <c r="M14" i="1" s="1"/>
  <c r="N14" i="1" s="1"/>
  <c r="H15" i="1"/>
  <c r="M15" i="1" s="1"/>
  <c r="N15" i="1" s="1"/>
  <c r="H16" i="1"/>
  <c r="H17" i="1"/>
  <c r="H18" i="1"/>
  <c r="M18" i="1" s="1"/>
  <c r="N18" i="1" s="1"/>
  <c r="H19" i="1"/>
  <c r="M19" i="1" s="1"/>
  <c r="N19" i="1" s="1"/>
  <c r="H20" i="1"/>
  <c r="M20" i="1" s="1"/>
  <c r="N20" i="1" s="1"/>
  <c r="H21" i="1"/>
  <c r="H22" i="1"/>
  <c r="H23" i="1"/>
  <c r="H24" i="1"/>
  <c r="M24" i="1" s="1"/>
  <c r="N24" i="1" s="1"/>
  <c r="H25" i="1"/>
  <c r="M25" i="1" s="1"/>
  <c r="N25" i="1" s="1"/>
  <c r="H26" i="1"/>
  <c r="M26" i="1" s="1"/>
  <c r="N26" i="1" s="1"/>
  <c r="H27" i="1"/>
  <c r="M27" i="1" s="1"/>
  <c r="N27" i="1" s="1"/>
  <c r="H28" i="1"/>
  <c r="H29" i="1"/>
  <c r="M29" i="1" s="1"/>
  <c r="N29" i="1" s="1"/>
  <c r="H30" i="1"/>
  <c r="M30" i="1" s="1"/>
  <c r="N30" i="1" s="1"/>
  <c r="H31" i="1"/>
  <c r="H32" i="1"/>
  <c r="M32" i="1" s="1"/>
  <c r="N32" i="1" s="1"/>
  <c r="H33" i="1"/>
  <c r="H34" i="1"/>
  <c r="H35" i="1"/>
  <c r="M35" i="1" s="1"/>
  <c r="N35" i="1" s="1"/>
  <c r="H36" i="1"/>
  <c r="H37" i="1"/>
  <c r="H38" i="1"/>
  <c r="M38" i="1" s="1"/>
  <c r="N38" i="1" s="1"/>
  <c r="H39" i="1"/>
  <c r="M39" i="1" s="1"/>
  <c r="N39" i="1" s="1"/>
  <c r="H40" i="1"/>
  <c r="M40" i="1" s="1"/>
  <c r="N40" i="1" s="1"/>
  <c r="H41" i="1"/>
  <c r="H42" i="1"/>
  <c r="M42" i="1" s="1"/>
  <c r="N42" i="1" s="1"/>
  <c r="H43" i="1"/>
  <c r="M43" i="1" s="1"/>
  <c r="N43" i="1" s="1"/>
  <c r="H44" i="1"/>
  <c r="M44" i="1" s="1"/>
  <c r="N44" i="1" s="1"/>
  <c r="H45" i="1"/>
  <c r="M45" i="1" s="1"/>
  <c r="N45" i="1" s="1"/>
  <c r="H46" i="1"/>
  <c r="H47" i="1"/>
  <c r="M47" i="1" s="1"/>
  <c r="N47" i="1" s="1"/>
  <c r="H48" i="1"/>
  <c r="M48" i="1" s="1"/>
  <c r="N48" i="1" s="1"/>
  <c r="H49" i="1"/>
  <c r="M49" i="1" s="1"/>
  <c r="N49" i="1" s="1"/>
  <c r="H50" i="1"/>
  <c r="H51" i="1"/>
  <c r="H52" i="1"/>
  <c r="M52" i="1" s="1"/>
  <c r="N52" i="1" s="1"/>
  <c r="H53" i="1"/>
  <c r="H55" i="1"/>
  <c r="M55" i="1" s="1"/>
  <c r="N55" i="1" s="1"/>
  <c r="H56" i="1"/>
  <c r="M56" i="1" s="1"/>
  <c r="N56" i="1" s="1"/>
  <c r="H57" i="1"/>
  <c r="H60" i="1"/>
  <c r="M60" i="1" s="1"/>
  <c r="N60" i="1" s="1"/>
  <c r="H61" i="1"/>
  <c r="M61" i="1" s="1"/>
  <c r="N61" i="1" s="1"/>
  <c r="H62" i="1"/>
  <c r="H63" i="1"/>
  <c r="H65" i="1"/>
  <c r="H68" i="1"/>
  <c r="H69" i="1"/>
  <c r="M69" i="1" s="1"/>
  <c r="N69" i="1" s="1"/>
  <c r="H70" i="1"/>
  <c r="M70" i="1" s="1"/>
  <c r="N70" i="1" s="1"/>
  <c r="H72" i="1"/>
  <c r="H74" i="1"/>
  <c r="M74" i="1" s="1"/>
  <c r="N74" i="1" s="1"/>
  <c r="H75" i="1"/>
  <c r="M75" i="1" s="1"/>
  <c r="N75" i="1" s="1"/>
  <c r="H76" i="1"/>
  <c r="M76" i="1" s="1"/>
  <c r="N76" i="1" s="1"/>
  <c r="H79" i="1"/>
  <c r="H81" i="1"/>
  <c r="H82" i="1"/>
  <c r="M82" i="1" s="1"/>
  <c r="N82" i="1" s="1"/>
  <c r="H83" i="1"/>
  <c r="M83" i="1" s="1"/>
  <c r="N83" i="1" s="1"/>
  <c r="H84" i="1"/>
  <c r="H85" i="1"/>
  <c r="H86" i="1"/>
  <c r="H87" i="1"/>
  <c r="H88" i="1"/>
  <c r="H90" i="1"/>
  <c r="M90" i="1" s="1"/>
  <c r="N90" i="1" s="1"/>
  <c r="H91" i="1"/>
  <c r="H92" i="1"/>
  <c r="M92" i="1" s="1"/>
  <c r="N92" i="1" s="1"/>
  <c r="H93" i="1"/>
  <c r="M93" i="1" s="1"/>
  <c r="N93" i="1" s="1"/>
  <c r="H94" i="1"/>
  <c r="M94" i="1" s="1"/>
  <c r="N94" i="1" s="1"/>
  <c r="H95" i="1"/>
  <c r="H96" i="1"/>
  <c r="M96" i="1" s="1"/>
  <c r="N96" i="1" s="1"/>
  <c r="H98" i="1"/>
  <c r="M98" i="1" s="1"/>
  <c r="N98" i="1" s="1"/>
  <c r="H99" i="1"/>
  <c r="M99" i="1" s="1"/>
  <c r="N99" i="1" s="1"/>
  <c r="H101" i="1"/>
  <c r="H102" i="1"/>
  <c r="M102" i="1" s="1"/>
  <c r="N102" i="1" s="1"/>
  <c r="H104" i="1"/>
  <c r="H105" i="1"/>
  <c r="M105" i="1" s="1"/>
  <c r="N105" i="1" s="1"/>
  <c r="H106" i="1"/>
  <c r="H107" i="1"/>
  <c r="H108" i="1"/>
  <c r="H109" i="1"/>
  <c r="H110" i="1"/>
  <c r="H111" i="1"/>
  <c r="H113" i="1"/>
  <c r="M113" i="1" s="1"/>
  <c r="N113" i="1" s="1"/>
  <c r="H114" i="1"/>
  <c r="M114" i="1" s="1"/>
  <c r="N114" i="1" s="1"/>
  <c r="H115" i="1"/>
  <c r="H117" i="1"/>
  <c r="H118" i="1"/>
  <c r="M118" i="1" s="1"/>
  <c r="N118" i="1" s="1"/>
  <c r="H119" i="1"/>
  <c r="M119" i="1" s="1"/>
  <c r="N119" i="1" s="1"/>
  <c r="H120" i="1"/>
  <c r="H122" i="1"/>
  <c r="H124" i="1"/>
  <c r="M124" i="1" s="1"/>
  <c r="N124" i="1" s="1"/>
  <c r="H126" i="1"/>
  <c r="H127" i="1"/>
  <c r="H128" i="1"/>
  <c r="H129" i="1"/>
  <c r="M129" i="1" s="1"/>
  <c r="N129" i="1" s="1"/>
  <c r="H130" i="1"/>
  <c r="H131" i="1"/>
  <c r="H132" i="1"/>
  <c r="M132" i="1" s="1"/>
  <c r="N132" i="1" s="1"/>
  <c r="H133" i="1"/>
  <c r="M133" i="1" s="1"/>
  <c r="N133" i="1" s="1"/>
  <c r="H134" i="1"/>
  <c r="M134" i="1" s="1"/>
  <c r="N134" i="1" s="1"/>
  <c r="H135" i="1"/>
  <c r="M135" i="1" s="1"/>
  <c r="N135" i="1" s="1"/>
  <c r="H137" i="1"/>
  <c r="M137" i="1" s="1"/>
  <c r="N137" i="1" s="1"/>
  <c r="H138" i="1"/>
  <c r="H139" i="1"/>
  <c r="M139" i="1" s="1"/>
  <c r="N139" i="1" s="1"/>
  <c r="H141" i="1"/>
  <c r="H142" i="1"/>
  <c r="H143" i="1"/>
  <c r="H144" i="1"/>
  <c r="H145" i="1"/>
  <c r="M145" i="1" s="1"/>
  <c r="N145" i="1" s="1"/>
  <c r="H146" i="1"/>
  <c r="M146" i="1" s="1"/>
  <c r="N146" i="1" s="1"/>
  <c r="H147" i="1"/>
  <c r="H148" i="1"/>
  <c r="M148" i="1" s="1"/>
  <c r="N148" i="1" s="1"/>
  <c r="H149" i="1"/>
  <c r="H150" i="1"/>
  <c r="M150" i="1" s="1"/>
  <c r="N150" i="1" s="1"/>
  <c r="H155" i="1"/>
  <c r="M155" i="1" s="1"/>
  <c r="N155" i="1" s="1"/>
  <c r="H156" i="1"/>
  <c r="M156" i="1" s="1"/>
  <c r="N156" i="1" s="1"/>
  <c r="H157" i="1"/>
  <c r="M157" i="1" s="1"/>
  <c r="N157" i="1" s="1"/>
  <c r="H158" i="1"/>
  <c r="H159" i="1"/>
  <c r="H160" i="1"/>
  <c r="H161" i="1"/>
  <c r="M161" i="1" s="1"/>
  <c r="N161" i="1" s="1"/>
  <c r="H163" i="1"/>
  <c r="H164" i="1"/>
  <c r="H165" i="1"/>
  <c r="H166" i="1"/>
  <c r="H167" i="1"/>
  <c r="H168" i="1"/>
  <c r="M168" i="1" s="1"/>
  <c r="N168" i="1" s="1"/>
  <c r="H169" i="1"/>
  <c r="H170" i="1"/>
  <c r="H173" i="1"/>
  <c r="H174" i="1"/>
  <c r="H175" i="1"/>
  <c r="M175" i="1" s="1"/>
  <c r="N175" i="1" s="1"/>
  <c r="H177" i="1"/>
  <c r="M177" i="1" s="1"/>
  <c r="N177" i="1" s="1"/>
  <c r="H178" i="1"/>
  <c r="M178" i="1" s="1"/>
  <c r="N178" i="1" s="1"/>
  <c r="H181" i="1"/>
  <c r="H182" i="1"/>
  <c r="H183" i="1"/>
  <c r="M183" i="1" s="1"/>
  <c r="N183" i="1" s="1"/>
  <c r="H184" i="1"/>
  <c r="M184" i="1" s="1"/>
  <c r="N184" i="1" s="1"/>
  <c r="H186" i="1"/>
  <c r="M186" i="1" s="1"/>
  <c r="N186" i="1" s="1"/>
  <c r="H188" i="1"/>
  <c r="M188" i="1" s="1"/>
  <c r="N188" i="1" s="1"/>
  <c r="H189" i="1"/>
  <c r="H190" i="1"/>
  <c r="M190" i="1" s="1"/>
  <c r="N190" i="1" s="1"/>
  <c r="H191" i="1"/>
  <c r="M191" i="1" s="1"/>
  <c r="N191" i="1" s="1"/>
  <c r="H192" i="1"/>
  <c r="H193" i="1"/>
  <c r="M193" i="1" s="1"/>
  <c r="N193" i="1" s="1"/>
  <c r="H194" i="1"/>
  <c r="M194" i="1" s="1"/>
  <c r="N194" i="1" s="1"/>
  <c r="H195" i="1"/>
  <c r="H4" i="1"/>
  <c r="M4" i="1" s="1"/>
  <c r="N4" i="1" s="1"/>
  <c r="D20" i="2" l="1"/>
  <c r="F18" i="2"/>
  <c r="D18" i="2"/>
  <c r="D21" i="2"/>
  <c r="D17" i="2"/>
  <c r="D19" i="2"/>
  <c r="F19" i="2"/>
  <c r="C5" i="3" l="1"/>
  <c r="C3" i="3"/>
  <c r="C4" i="3"/>
  <c r="A25" i="2"/>
  <c r="D16" i="2" l="1"/>
  <c r="B27" i="2"/>
  <c r="G196" i="1"/>
  <c r="D196" i="1"/>
  <c r="C25" i="2" l="1"/>
  <c r="C26" i="2" s="1"/>
  <c r="D4" i="2"/>
  <c r="E4" i="2" s="1"/>
  <c r="C27" i="2"/>
  <c r="H196" i="1"/>
  <c r="B6" i="2" l="1"/>
  <c r="D8" i="2"/>
  <c r="E8" i="2" s="1"/>
  <c r="D9" i="2"/>
  <c r="B8" i="2"/>
  <c r="E9" i="2"/>
  <c r="B7" i="2"/>
  <c r="E27" i="2"/>
  <c r="F27" i="2" s="1"/>
  <c r="C31" i="2"/>
  <c r="M196" i="1"/>
  <c r="C21" i="2" l="1"/>
  <c r="C17" i="2"/>
  <c r="B11" i="2"/>
  <c r="E31" i="2"/>
  <c r="F31" i="2" s="1"/>
  <c r="C18" i="2"/>
  <c r="C19" i="2"/>
  <c r="C20" i="2"/>
  <c r="B13" i="2" l="1"/>
  <c r="D13" i="2"/>
  <c r="E13" i="2" s="1"/>
  <c r="B12" i="2"/>
  <c r="C22" i="2"/>
  <c r="D22" i="2"/>
  <c r="E20" i="2" l="1"/>
  <c r="E18" i="2"/>
  <c r="E19" i="2"/>
  <c r="E21" i="2"/>
  <c r="E17" i="2"/>
  <c r="E22" i="2" l="1"/>
</calcChain>
</file>

<file path=xl/sharedStrings.xml><?xml version="1.0" encoding="utf-8"?>
<sst xmlns="http://schemas.openxmlformats.org/spreadsheetml/2006/main" count="1059" uniqueCount="622">
  <si>
    <t>Last</t>
  </si>
  <si>
    <t>First</t>
  </si>
  <si>
    <t>Giving Units</t>
  </si>
  <si>
    <t>2021 Giving</t>
  </si>
  <si>
    <t>Pledge</t>
  </si>
  <si>
    <t>$</t>
  </si>
  <si>
    <t>Alton</t>
  </si>
  <si>
    <t>Timing*</t>
  </si>
  <si>
    <t>S/I/D/N**</t>
  </si>
  <si>
    <t>Anderson</t>
  </si>
  <si>
    <t>Gary &amp; Kathy</t>
  </si>
  <si>
    <t>Ashton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</si>
  <si>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</si>
  <si>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</si>
  <si>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</si>
  <si>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</si>
  <si>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</si>
  <si>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</si>
  <si>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</si>
  <si>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</si>
  <si>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</si>
  <si>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</si>
  <si>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</si>
  <si>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</si>
  <si>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</si>
  <si>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</si>
  <si>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</si>
  <si>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</si>
  <si>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</si>
  <si>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</si>
  <si>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</si>
  <si>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</si>
  <si>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</si>
  <si>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</si>
  <si>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</si>
  <si>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</si>
  <si>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</si>
  <si>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</si>
  <si>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</si>
  <si>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</si>
  <si>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</si>
  <si>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</si>
  <si>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</si>
  <si>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</si>
  <si>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</si>
  <si>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</si>
  <si>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</si>
  <si>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</si>
  <si>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</si>
  <si>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</si>
  <si>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</si>
  <si>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</si>
  <si>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</si>
  <si>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</si>
  <si>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</si>
  <si>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</si>
  <si>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</si>
  <si>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</si>
  <si>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</si>
  <si>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</si>
  <si>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</si>
  <si>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</si>
  <si>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</si>
  <si>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</si>
  <si>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</si>
  <si>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</si>
  <si>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</si>
  <si>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</si>
  <si>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</si>
  <si>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</si>
  <si>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</si>
  <si>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</si>
  <si>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</si>
  <si>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DeCamp</t>
  </si>
  <si>
    <t>Jim &amp; Myrna</t>
  </si>
  <si>
    <t>DenHartigh</t>
  </si>
  <si>
    <t>Doris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</si>
  <si>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</si>
  <si>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</si>
  <si>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</si>
  <si>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</si>
  <si>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</si>
  <si>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</si>
  <si>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</si>
  <si>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</si>
  <si>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</si>
  <si>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</si>
  <si>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</si>
  <si>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</si>
  <si>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</si>
  <si>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</si>
  <si>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</si>
  <si>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</si>
  <si>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</si>
  <si>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</si>
  <si>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</si>
  <si>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</si>
  <si>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</si>
  <si>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</si>
  <si>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</si>
  <si>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</si>
  <si>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</si>
  <si>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</si>
  <si>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</si>
  <si>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</si>
  <si>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</si>
  <si>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</si>
  <si>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</si>
  <si>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</si>
  <si>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</si>
  <si>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</si>
  <si>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</si>
  <si>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</si>
  <si>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</si>
  <si>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</si>
  <si>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</si>
  <si>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</si>
  <si>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</si>
  <si>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</si>
  <si>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</si>
  <si>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</si>
  <si>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</si>
  <si>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</si>
  <si>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</si>
  <si>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</si>
  <si>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</si>
  <si>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</si>
  <si>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</si>
  <si>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</si>
  <si>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</si>
  <si>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</si>
  <si>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</si>
  <si>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</si>
  <si>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</si>
  <si>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</si>
  <si>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</si>
  <si>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</si>
  <si>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</si>
  <si>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</si>
  <si>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</si>
  <si>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</si>
  <si>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</si>
  <si>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</si>
  <si>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</si>
  <si>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</si>
  <si>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</si>
  <si>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</si>
  <si>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</si>
  <si>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</si>
  <si>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</si>
  <si>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</si>
  <si>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</si>
  <si>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</si>
  <si>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</si>
  <si>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</si>
  <si>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</si>
  <si>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</si>
  <si>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</si>
  <si>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</si>
  <si>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</si>
  <si>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</si>
  <si>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</si>
  <si>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</si>
  <si>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</si>
  <si>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</si>
  <si>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</si>
  <si>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</si>
  <si>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</si>
  <si>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</si>
  <si>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</si>
  <si>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</si>
  <si>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</si>
  <si>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</si>
  <si>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</si>
  <si>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</si>
  <si>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</si>
  <si>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</si>
  <si>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</si>
  <si>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</si>
  <si>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</si>
  <si>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</si>
  <si>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</si>
  <si>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</si>
  <si>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</si>
  <si>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</si>
  <si>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</si>
  <si>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</si>
  <si>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</si>
  <si>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</si>
  <si>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</si>
  <si>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</si>
  <si>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</si>
  <si>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</si>
  <si>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</si>
  <si>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</si>
  <si>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</si>
  <si>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</si>
  <si>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</si>
  <si>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</si>
  <si>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</si>
  <si>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</si>
  <si>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</si>
  <si>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</si>
  <si>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</si>
  <si>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</si>
  <si>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</si>
  <si>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</si>
  <si>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</si>
  <si>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</si>
  <si>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</si>
  <si>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</si>
  <si>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</si>
  <si>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</si>
  <si>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Jeanne</t>
  </si>
  <si>
    <t>Barootian</t>
  </si>
  <si>
    <t>Eileen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</si>
  <si>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</si>
  <si>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</si>
  <si>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</si>
  <si>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</si>
  <si>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</si>
  <si>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</si>
  <si>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</si>
  <si>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</si>
  <si>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</si>
  <si>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Kris</t>
  </si>
  <si>
    <t>Escobar</t>
  </si>
  <si>
    <t>Carmen</t>
  </si>
  <si>
    <t>Fenkl</t>
  </si>
  <si>
    <t>Kevin &amp; Kristi</t>
  </si>
  <si>
    <t>Haman</t>
  </si>
  <si>
    <t>Jeffrey &amp; Nancy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</si>
  <si>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</si>
  <si>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</si>
  <si>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</si>
  <si>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</si>
  <si>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</si>
  <si>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</si>
  <si>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</si>
  <si>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</si>
  <si>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</si>
  <si>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</si>
  <si>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Kenyon</t>
  </si>
  <si>
    <t>Adam</t>
  </si>
  <si>
    <t>Kisley</t>
  </si>
  <si>
    <t>Randy</t>
  </si>
  <si>
    <t>Kozlik</t>
  </si>
  <si>
    <t>Aaron &amp; Edith</t>
  </si>
  <si>
    <t>Dean &amp; Jody</t>
  </si>
  <si>
    <t>Kuzniar</t>
  </si>
  <si>
    <t>Madeline</t>
  </si>
  <si>
    <t>Lube</t>
  </si>
  <si>
    <t>Melvina</t>
  </si>
  <si>
    <t>Mitchell</t>
  </si>
  <si>
    <t>Mike</t>
  </si>
  <si>
    <t>Modrow, Sr.</t>
  </si>
  <si>
    <t>Bob &amp; Jean</t>
  </si>
  <si>
    <t>Mohalley</t>
  </si>
  <si>
    <t>Chris &amp; Kim</t>
  </si>
  <si>
    <t>Napier</t>
  </si>
  <si>
    <t>Glenn &amp; Sue</t>
  </si>
  <si>
    <t>JoAnn &amp; Mike</t>
  </si>
  <si>
    <t>Linda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</si>
  <si>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</si>
  <si>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</si>
  <si>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</si>
  <si>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</si>
  <si>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</si>
  <si>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</si>
  <si>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</si>
  <si>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</si>
  <si>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</si>
  <si>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</si>
  <si>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</si>
  <si>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</si>
  <si>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</si>
  <si>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</si>
  <si>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</si>
  <si>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</si>
  <si>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Schwartz</t>
  </si>
  <si>
    <t>Jill</t>
  </si>
  <si>
    <t>Sharpe</t>
  </si>
  <si>
    <t>Bob &amp; Barb</t>
  </si>
  <si>
    <t>Shittu</t>
  </si>
  <si>
    <t>Gilda</t>
  </si>
  <si>
    <t>Smith</t>
  </si>
  <si>
    <t>Stich</t>
  </si>
  <si>
    <t>Crystal</t>
  </si>
  <si>
    <t>Todorovic</t>
  </si>
  <si>
    <t>Connie</t>
  </si>
  <si>
    <t>Wertman</t>
  </si>
  <si>
    <t>Wunderle</t>
  </si>
  <si>
    <t>Jeffrey &amp; Kara</t>
  </si>
  <si>
    <t>LCR Pledge Analysis (Detail)</t>
  </si>
  <si>
    <t>MaryAnn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</si>
  <si>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</si>
  <si>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</si>
  <si>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</si>
  <si>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</si>
  <si>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</si>
  <si>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</si>
  <si>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</si>
  <si>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</si>
  <si>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Lewis</t>
  </si>
  <si>
    <t>Malik</t>
  </si>
  <si>
    <t>Elaine</t>
  </si>
  <si>
    <t>Jim &amp; Mary Lou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</si>
  <si>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</si>
  <si>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</si>
  <si>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</si>
  <si>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</si>
  <si>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</si>
  <si>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</si>
  <si>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</si>
  <si>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</si>
  <si>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</si>
  <si>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</si>
  <si>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</si>
  <si>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</si>
  <si>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</si>
  <si>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</si>
  <si>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</si>
  <si>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</si>
  <si>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</si>
  <si>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</si>
  <si>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</si>
  <si>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</si>
  <si>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</si>
  <si>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</si>
  <si>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</si>
  <si>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</si>
  <si>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</si>
  <si>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</si>
  <si>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</si>
  <si>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</si>
  <si>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</si>
  <si>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</si>
  <si>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</si>
  <si>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</si>
  <si>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</si>
  <si>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</si>
  <si>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</si>
  <si>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</si>
  <si>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</si>
  <si>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</si>
  <si>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</si>
  <si>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</si>
  <si>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</si>
  <si>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</si>
  <si>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</si>
  <si>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</si>
  <si>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</si>
  <si>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</si>
  <si>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</si>
  <si>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</si>
  <si>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</si>
  <si>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</si>
  <si>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</si>
  <si>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</si>
  <si>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</si>
  <si>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</si>
  <si>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</si>
  <si>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</si>
  <si>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</si>
  <si>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</si>
  <si>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</si>
  <si>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</si>
  <si>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</si>
  <si>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</si>
  <si>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</si>
  <si>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</si>
  <si>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</si>
  <si>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</si>
  <si>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</si>
  <si>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</si>
  <si>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</si>
  <si>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</si>
  <si>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</si>
  <si>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</si>
  <si>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</si>
  <si>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</si>
  <si>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</si>
  <si>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</si>
  <si>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</si>
  <si>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</si>
  <si>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</si>
  <si>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</si>
  <si>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</si>
  <si>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</si>
  <si>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</si>
  <si>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</si>
  <si>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</si>
  <si>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</si>
  <si>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</si>
  <si>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</si>
  <si>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</si>
  <si>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</si>
  <si>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</si>
  <si>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</si>
  <si>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</si>
  <si>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</si>
  <si>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</si>
  <si>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</si>
  <si>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</si>
  <si>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</si>
  <si>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</si>
  <si>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</si>
  <si>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</si>
  <si>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</si>
  <si>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</si>
  <si>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</si>
  <si>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</si>
  <si>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</si>
  <si>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</si>
  <si>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</si>
  <si>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</si>
  <si>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</si>
  <si>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</si>
  <si>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</si>
  <si>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</si>
  <si>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</si>
  <si>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</si>
  <si>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</si>
  <si>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</si>
  <si>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</si>
  <si>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</si>
  <si>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Haven't attended church</t>
  </si>
  <si>
    <t xml:space="preserve">          Estimate</t>
  </si>
  <si>
    <t>Estimate (no pledge received)</t>
  </si>
  <si>
    <t>Brennan</t>
  </si>
  <si>
    <t>Dave &amp; Lindsay</t>
  </si>
  <si>
    <t>%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</si>
  <si>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</si>
  <si>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</si>
  <si>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</si>
  <si>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</si>
  <si>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</si>
  <si>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</si>
  <si>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</si>
  <si>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</si>
  <si>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</si>
  <si>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</si>
  <si>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</si>
  <si>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</si>
  <si>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</si>
  <si>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</si>
  <si>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</si>
  <si>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</si>
  <si>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</si>
  <si>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</si>
  <si>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</si>
  <si>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</si>
  <si>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</si>
  <si>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</si>
  <si>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</si>
  <si>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</si>
  <si>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</si>
  <si>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</si>
  <si>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</si>
  <si>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</si>
  <si>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</si>
  <si>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</si>
  <si>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</si>
  <si>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</si>
  <si>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</si>
  <si>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</si>
  <si>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</si>
  <si>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</si>
  <si>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</si>
  <si>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</si>
  <si>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</si>
  <si>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</si>
  <si>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</si>
  <si>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</si>
  <si>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</si>
  <si>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</si>
  <si>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</si>
  <si>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</si>
  <si>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</si>
  <si>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</si>
  <si>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</si>
  <si>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</si>
  <si>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</si>
  <si>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</si>
  <si>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</si>
  <si>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</si>
  <si>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</si>
  <si>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</si>
  <si>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</si>
  <si>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</si>
  <si>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</si>
  <si>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</si>
  <si>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</si>
  <si>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</si>
  <si>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</si>
  <si>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</si>
  <si>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</si>
  <si>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</si>
  <si>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</si>
  <si>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</si>
  <si>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</si>
  <si>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</si>
  <si>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</si>
  <si>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</si>
  <si>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</si>
  <si>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</si>
  <si>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</si>
  <si>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</si>
  <si>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</si>
  <si>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</si>
  <si>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</si>
  <si>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</si>
  <si>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</si>
  <si>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</si>
  <si>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</si>
  <si>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</si>
  <si>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</si>
  <si>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</si>
  <si>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</si>
  <si>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</si>
  <si>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</si>
  <si>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</si>
  <si>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</si>
  <si>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</si>
  <si>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</si>
  <si>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</si>
  <si>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</si>
  <si>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</si>
  <si>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</si>
  <si>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</si>
  <si>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</si>
  <si>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</si>
  <si>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</si>
  <si>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</si>
  <si>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</si>
  <si>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</si>
  <si>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</si>
  <si>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</si>
  <si>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</si>
  <si>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Delmar</t>
  </si>
  <si>
    <t>McDonough</t>
  </si>
  <si>
    <t>Tom</t>
  </si>
  <si>
    <t>Radke</t>
  </si>
  <si>
    <t>Keith</t>
  </si>
  <si>
    <t>Mike and Debbie</t>
  </si>
  <si>
    <t>this will be different then o - k as the weeks are converted for years with 53 weeks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</si>
  <si>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</si>
  <si>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</si>
  <si>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</si>
  <si>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</si>
  <si>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</si>
  <si>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</si>
  <si>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</si>
  <si>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</si>
  <si>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</si>
  <si>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</si>
  <si>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</si>
  <si>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</si>
  <si>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</si>
  <si>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</si>
  <si>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</si>
  <si>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</si>
  <si>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</si>
  <si>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Verbally</t>
  </si>
  <si>
    <t>Total 2023 Estimate with budget pacing</t>
  </si>
  <si>
    <t xml:space="preserve">Envelop giving </t>
  </si>
  <si>
    <t>Honsberger</t>
  </si>
  <si>
    <t>Neil &amp; Linda</t>
  </si>
  <si>
    <t>1775 Newman Rd Apt #228</t>
  </si>
  <si>
    <t>1775 Newman Road #135</t>
  </si>
  <si>
    <t>Will give $300 quarterly</t>
  </si>
  <si>
    <t>pamalatague65@gmail.com</t>
  </si>
  <si>
    <t>6830 Cliffside Drive</t>
  </si>
  <si>
    <t>Thomson (Gavigan)</t>
  </si>
  <si>
    <t>Del</t>
  </si>
  <si>
    <t>Doug &amp; Sue</t>
  </si>
  <si>
    <t>Pledge Comparison</t>
  </si>
  <si>
    <t>Henrichs</t>
  </si>
  <si>
    <t>Ashleigh</t>
  </si>
  <si>
    <t>Kempen</t>
  </si>
  <si>
    <t>Peter &amp; Brenda</t>
  </si>
  <si>
    <t>Klaus</t>
  </si>
  <si>
    <t>William &amp; Jennifer</t>
  </si>
  <si>
    <t>Koerber</t>
  </si>
  <si>
    <t>Lasch</t>
  </si>
  <si>
    <t>Robert</t>
  </si>
  <si>
    <t>Ludwin</t>
  </si>
  <si>
    <t>Jim &amp; Cory</t>
  </si>
  <si>
    <t>Minor</t>
  </si>
  <si>
    <t>Jeff &amp; Cherie</t>
  </si>
  <si>
    <t>Donald &amp; Shirley</t>
  </si>
  <si>
    <t>Dwayne</t>
  </si>
  <si>
    <t>Phillips</t>
  </si>
  <si>
    <t>Pratt</t>
  </si>
  <si>
    <t>Caroline</t>
  </si>
  <si>
    <t>Tammy</t>
  </si>
  <si>
    <t>Steberl</t>
  </si>
  <si>
    <t>J.R. &amp; Jenny</t>
  </si>
  <si>
    <t>Tetrault</t>
  </si>
  <si>
    <t>Pledged same as in 2024</t>
  </si>
  <si>
    <t>Did not pledge in 2024 but pledged in 2025</t>
  </si>
  <si>
    <t>Pledged or gave in 2024 but no pledged 2025</t>
  </si>
  <si>
    <t>2024 Estimate (Envelop giving only)</t>
  </si>
  <si>
    <t>Oct YTD Actual</t>
  </si>
  <si>
    <t>Candace</t>
  </si>
  <si>
    <t>Gedemer</t>
  </si>
  <si>
    <t>Hutson</t>
  </si>
  <si>
    <t>Jonathan &amp; Amanda</t>
  </si>
  <si>
    <t>Russell &amp; Bette</t>
  </si>
  <si>
    <t>Holly &amp; Phillips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</si>
  <si>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</si>
  <si>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</si>
  <si>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</si>
  <si>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</si>
  <si>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</si>
  <si>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</si>
  <si>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</si>
  <si>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Rick &amp; Barb</t>
  </si>
  <si>
    <t>902 Coronada Drive</t>
  </si>
  <si>
    <t>Sweeney</t>
  </si>
  <si>
    <t>Don</t>
  </si>
  <si>
    <t>Jeff &amp; 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</si>
</sst>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6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6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3" fillId="0" borderId="4" xfId="0" applyNumberFormat="1" applyFont="1" applyBorder="1"/>
    <xf numFmtId="3" fontId="2" fillId="2" borderId="6" xfId="0" applyNumberFormat="1" applyFont="1" applyFill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3" fillId="0" borderId="0" xfId="1" applyNumberFormat="1" applyFont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4" fillId="0" borderId="0" xfId="1" applyNumberFormat="1" applyFont="1" applyFill="1" applyBorder="1"/>
    <xf numFmtId="0" fontId="3" fillId="0" borderId="0" xfId="0" applyFont="1"/>
    <xf numFmtId="164" fontId="2" fillId="2" borderId="8" xfId="2" applyNumberFormat="1" applyFont="1" applyFill="1" applyBorder="1"/>
    <xf numFmtId="165" fontId="4" fillId="0" borderId="13" xfId="1" applyNumberFormat="1" applyFont="1" applyFill="1" applyBorder="1"/>
    <xf numFmtId="164" fontId="2" fillId="0" borderId="13" xfId="2" applyNumberFormat="1" applyFont="1" applyFill="1" applyBorder="1"/>
    <xf numFmtId="165" fontId="2" fillId="0" borderId="13" xfId="1" applyNumberFormat="1" applyFont="1" applyFill="1" applyBorder="1"/>
    <xf numFmtId="0" fontId="2" fillId="0" borderId="14" xfId="0" applyFont="1" applyFill="1" applyBorder="1"/>
    <xf numFmtId="0" fontId="0" fillId="0" borderId="12" xfId="0" applyBorder="1"/>
    <xf numFmtId="165" fontId="0" fillId="0" borderId="13" xfId="1" applyNumberFormat="1" applyFont="1" applyBorder="1"/>
    <xf numFmtId="3" fontId="0" fillId="0" borderId="13" xfId="0" applyNumberFormat="1" applyBorder="1"/>
    <xf numFmtId="164" fontId="0" fillId="0" borderId="14" xfId="2" applyNumberFormat="1" applyFon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10" fillId="0" borderId="0" xfId="3" applyNumberForma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9" fontId="3" fillId="0" borderId="0" xfId="2" applyFont="1"/>
    <xf numFmtId="3" fontId="11" fillId="0" borderId="0" xfId="3" applyNumberFormat="1" applyFont="1"/>
    <xf numFmtId="4" fontId="3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3" fillId="0" borderId="0" xfId="0" applyNumberFormat="1" applyFont="1" applyFill="1" applyBorder="1"/>
    <xf numFmtId="3" fontId="3" fillId="0" borderId="4" xfId="0" applyNumberFormat="1" applyFont="1" applyFill="1" applyBorder="1"/>
    <xf numFmtId="3" fontId="4" fillId="0" borderId="5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9" fontId="0" fillId="0" borderId="0" xfId="2" applyFont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10" fillId="0" borderId="0" xfId="3" applyNumberFormat="1" applyAlignment="1">
      <alignment wrapText="1"/>
    </xf>
    <xf numFmtId="3" fontId="3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4" fillId="0" borderId="4" xfId="0" applyNumberFormat="1" applyFont="1" applyFill="1" applyBorder="1"/>
    <xf numFmtId="3" fontId="0" fillId="0" borderId="0" xfId="0" applyNumberFormat="1" applyFill="1"/>
    <xf numFmtId="3" fontId="12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3" fontId="10" fillId="0" borderId="0" xfId="3" applyNumberFormat="1" applyBorder="1" applyAlignment="1">
      <alignment horizontal="center"/>
    </xf>
    <xf numFmtId="0" fontId="4" fillId="0" borderId="12" xfId="0" applyFont="1" applyFill="1" applyBorder="1"/>
    <xf numFmtId="3" fontId="12" fillId="0" borderId="0" xfId="0" applyNumberFormat="1" applyFont="1" applyBorder="1"/>
    <xf numFmtId="3" fontId="0" fillId="0" borderId="0" xfId="0" applyNumberFormat="1" applyFill="1" applyAlignment="1">
      <alignment horizontal="center"/>
    </xf>
    <xf numFmtId="165" fontId="0" fillId="0" borderId="0" xfId="0" applyNumberFormat="1"/>
    <xf numFmtId="0" fontId="0" fillId="0" borderId="18" xfId="0" applyBorder="1"/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vertical="top" wrapText="1"/>
    </xf>
    <xf numFmtId="3" fontId="0" fillId="0" borderId="3" xfId="0" applyNumberFormat="1" applyFill="1" applyBorder="1" applyAlignment="1">
      <alignment horizontal="center" vertical="top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3" fontId="10" fillId="0" borderId="0" xfId="3" applyNumberFormat="1" applyFill="1"/>
    <xf numFmtId="3" fontId="2" fillId="0" borderId="0" xfId="0" applyNumberFormat="1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doe@wi.rr.com" TargetMode="External"/><Relationship Id="rId18" Type="http://schemas.openxmlformats.org/officeDocument/2006/relationships/hyperlink" Target="mailto:jhgilby_72@yahoo.com" TargetMode="External"/><Relationship Id="rId26" Type="http://schemas.openxmlformats.org/officeDocument/2006/relationships/hyperlink" Target="mailto:mary.ann.mantey@gmail.com" TargetMode="External"/><Relationship Id="rId39" Type="http://schemas.openxmlformats.org/officeDocument/2006/relationships/hyperlink" Target="mailto:jeffwunderle@yahoo.com" TargetMode="External"/><Relationship Id="rId21" Type="http://schemas.openxmlformats.org/officeDocument/2006/relationships/hyperlink" Target="mailto:dubar@att.net" TargetMode="External"/><Relationship Id="rId34" Type="http://schemas.openxmlformats.org/officeDocument/2006/relationships/hyperlink" Target="mailto:tjsaavedra@hotmail.com" TargetMode="External"/><Relationship Id="rId42" Type="http://schemas.openxmlformats.org/officeDocument/2006/relationships/hyperlink" Target="mailto:Kimsc31@aol.com" TargetMode="External"/><Relationship Id="rId47" Type="http://schemas.openxmlformats.org/officeDocument/2006/relationships/hyperlink" Target="mailto:lynette.jacobson54@gmail.com" TargetMode="External"/><Relationship Id="rId50" Type="http://schemas.openxmlformats.org/officeDocument/2006/relationships/hyperlink" Target="mailto:jkoechell@att.net" TargetMode="External"/><Relationship Id="rId55" Type="http://schemas.openxmlformats.org/officeDocument/2006/relationships/hyperlink" Target="mailto:vda0369@yahoo.com" TargetMode="External"/><Relationship Id="rId63" Type="http://schemas.openxmlformats.org/officeDocument/2006/relationships/hyperlink" Target="mailto:tunie8420@aol.com" TargetMode="External"/><Relationship Id="rId68" Type="http://schemas.openxmlformats.org/officeDocument/2006/relationships/hyperlink" Target="mailto:baylortrenton@gmail.com" TargetMode="External"/><Relationship Id="rId76" Type="http://schemas.openxmlformats.org/officeDocument/2006/relationships/hyperlink" Target="mailto:rmmiller10@hotmail.com" TargetMode="External"/><Relationship Id="rId7" Type="http://schemas.openxmlformats.org/officeDocument/2006/relationships/hyperlink" Target="mailto:psbelanger8@att.net" TargetMode="External"/><Relationship Id="rId71" Type="http://schemas.openxmlformats.org/officeDocument/2006/relationships/hyperlink" Target="mailto:jweiss10@wi.rr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conniegardner1@hotmail.com" TargetMode="External"/><Relationship Id="rId29" Type="http://schemas.openxmlformats.org/officeDocument/2006/relationships/hyperlink" Target="mailto:jbknclm@att.net" TargetMode="External"/><Relationship Id="rId11" Type="http://schemas.openxmlformats.org/officeDocument/2006/relationships/hyperlink" Target="mailto:chriscampbell1106@gmail.com" TargetMode="External"/><Relationship Id="rId24" Type="http://schemas.openxmlformats.org/officeDocument/2006/relationships/hyperlink" Target="mailto:leazer@wi.rr.com" TargetMode="External"/><Relationship Id="rId32" Type="http://schemas.openxmlformats.org/officeDocument/2006/relationships/hyperlink" Target="mailto:wmortensen@wi.rr.com" TargetMode="External"/><Relationship Id="rId37" Type="http://schemas.openxmlformats.org/officeDocument/2006/relationships/hyperlink" Target="mailto:mark.nancy1993@gmail.com" TargetMode="External"/><Relationship Id="rId40" Type="http://schemas.openxmlformats.org/officeDocument/2006/relationships/hyperlink" Target="mailto:bblickle@wi.rr.com" TargetMode="External"/><Relationship Id="rId45" Type="http://schemas.openxmlformats.org/officeDocument/2006/relationships/hyperlink" Target="mailto:klfritz1@gmail.com" TargetMode="External"/><Relationship Id="rId53" Type="http://schemas.openxmlformats.org/officeDocument/2006/relationships/hyperlink" Target="mailto:lindalewis099@gmail.com" TargetMode="External"/><Relationship Id="rId58" Type="http://schemas.openxmlformats.org/officeDocument/2006/relationships/hyperlink" Target="mailto:dw.nielsen@yahoo.com" TargetMode="External"/><Relationship Id="rId66" Type="http://schemas.openxmlformats.org/officeDocument/2006/relationships/hyperlink" Target="mailto:gltingb@gmail.com" TargetMode="External"/><Relationship Id="rId74" Type="http://schemas.openxmlformats.org/officeDocument/2006/relationships/hyperlink" Target="mailto:cjgavigan177@gmail.com" TargetMode="External"/><Relationship Id="rId5" Type="http://schemas.openxmlformats.org/officeDocument/2006/relationships/hyperlink" Target="mailto:abaumga08@yahoo.com" TargetMode="External"/><Relationship Id="rId15" Type="http://schemas.openxmlformats.org/officeDocument/2006/relationships/hyperlink" Target="mailto:ericksoncarln@yahoo.com" TargetMode="External"/><Relationship Id="rId23" Type="http://schemas.openxmlformats.org/officeDocument/2006/relationships/hyperlink" Target="mailto:jkiemen1942@gmail.com" TargetMode="External"/><Relationship Id="rId28" Type="http://schemas.openxmlformats.org/officeDocument/2006/relationships/hyperlink" Target="mailto:mckennacolin59@gmail.com" TargetMode="External"/><Relationship Id="rId36" Type="http://schemas.openxmlformats.org/officeDocument/2006/relationships/hyperlink" Target="mailto:fmstrudrawa@aol.com" TargetMode="External"/><Relationship Id="rId49" Type="http://schemas.openxmlformats.org/officeDocument/2006/relationships/hyperlink" Target="mailto:pursonalityjen@gmail.com" TargetMode="External"/><Relationship Id="rId57" Type="http://schemas.openxmlformats.org/officeDocument/2006/relationships/hyperlink" Target="mailto:mnelson224@wi.rr.com" TargetMode="External"/><Relationship Id="rId61" Type="http://schemas.openxmlformats.org/officeDocument/2006/relationships/hyperlink" Target="mailto:staceyr@wi.rr.com" TargetMode="External"/><Relationship Id="rId10" Type="http://schemas.openxmlformats.org/officeDocument/2006/relationships/hyperlink" Target="mailto:dimae525@yahoo.com" TargetMode="External"/><Relationship Id="rId19" Type="http://schemas.openxmlformats.org/officeDocument/2006/relationships/hyperlink" Target="mailto:thauch@wi.rr.com" TargetMode="External"/><Relationship Id="rId31" Type="http://schemas.openxmlformats.org/officeDocument/2006/relationships/hyperlink" Target="mailto:mitzymm@yahoo.com" TargetMode="External"/><Relationship Id="rId44" Type="http://schemas.openxmlformats.org/officeDocument/2006/relationships/hyperlink" Target="mailto:fcurran@wi.rr.com" TargetMode="External"/><Relationship Id="rId52" Type="http://schemas.openxmlformats.org/officeDocument/2006/relationships/hyperlink" Target="mailto:bettylewis4120@gmail.com" TargetMode="External"/><Relationship Id="rId60" Type="http://schemas.openxmlformats.org/officeDocument/2006/relationships/hyperlink" Target="mailto:hotgram57@hotmail.com" TargetMode="External"/><Relationship Id="rId65" Type="http://schemas.openxmlformats.org/officeDocument/2006/relationships/hyperlink" Target="mailto:cbvacek@hotmail.com" TargetMode="External"/><Relationship Id="rId73" Type="http://schemas.openxmlformats.org/officeDocument/2006/relationships/hyperlink" Target="mailto:pamalatague65@gmail.com" TargetMode="External"/><Relationship Id="rId4" Type="http://schemas.openxmlformats.org/officeDocument/2006/relationships/hyperlink" Target="mailto:jebaroot63@msn.com" TargetMode="External"/><Relationship Id="rId9" Type="http://schemas.openxmlformats.org/officeDocument/2006/relationships/hyperlink" Target="mailto:dalton6466@gmail.com" TargetMode="External"/><Relationship Id="rId14" Type="http://schemas.openxmlformats.org/officeDocument/2006/relationships/hyperlink" Target="mailto:blerbe500@gmail.com" TargetMode="External"/><Relationship Id="rId22" Type="http://schemas.openxmlformats.org/officeDocument/2006/relationships/hyperlink" Target="mailto:dmj7140@gmail.com" TargetMode="External"/><Relationship Id="rId27" Type="http://schemas.openxmlformats.org/officeDocument/2006/relationships/hyperlink" Target="mailto:matthew3239@sbcglobal.net" TargetMode="External"/><Relationship Id="rId30" Type="http://schemas.openxmlformats.org/officeDocument/2006/relationships/hyperlink" Target="mailto:juliesptflowers@att.net" TargetMode="External"/><Relationship Id="rId35" Type="http://schemas.openxmlformats.org/officeDocument/2006/relationships/hyperlink" Target="mailto:tksheri1972@sbcglobal.net" TargetMode="External"/><Relationship Id="rId43" Type="http://schemas.openxmlformats.org/officeDocument/2006/relationships/hyperlink" Target="mailto:kitandmaryjane@yahoo.com" TargetMode="External"/><Relationship Id="rId48" Type="http://schemas.openxmlformats.org/officeDocument/2006/relationships/hyperlink" Target="mailto:crlpeppershaker@hol.com" TargetMode="External"/><Relationship Id="rId56" Type="http://schemas.openxmlformats.org/officeDocument/2006/relationships/hyperlink" Target="mailto:sdn313@hotmail.com" TargetMode="External"/><Relationship Id="rId64" Type="http://schemas.openxmlformats.org/officeDocument/2006/relationships/hyperlink" Target="mailto:tytrabert@att.net" TargetMode="External"/><Relationship Id="rId69" Type="http://schemas.openxmlformats.org/officeDocument/2006/relationships/hyperlink" Target="mailto:heatherkeszler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arrie.black2228@gmail.com" TargetMode="External"/><Relationship Id="rId51" Type="http://schemas.openxmlformats.org/officeDocument/2006/relationships/hyperlink" Target="mailto:nhkroll@sbcglobal.net" TargetMode="External"/><Relationship Id="rId72" Type="http://schemas.openxmlformats.org/officeDocument/2006/relationships/hyperlink" Target="mailto:grmagne9@ww.rr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sacnpac1239@gmail.com" TargetMode="External"/><Relationship Id="rId17" Type="http://schemas.openxmlformats.org/officeDocument/2006/relationships/hyperlink" Target="mailto:sandra.georgeson@yahoo.com" TargetMode="External"/><Relationship Id="rId25" Type="http://schemas.openxmlformats.org/officeDocument/2006/relationships/hyperlink" Target="mailto:esmalik@msn.com" TargetMode="External"/><Relationship Id="rId33" Type="http://schemas.openxmlformats.org/officeDocument/2006/relationships/hyperlink" Target="mailto:rpetrach@gmail.com" TargetMode="External"/><Relationship Id="rId38" Type="http://schemas.openxmlformats.org/officeDocument/2006/relationships/hyperlink" Target="mailto:ladw@sbcglobal.net" TargetMode="External"/><Relationship Id="rId46" Type="http://schemas.openxmlformats.org/officeDocument/2006/relationships/hyperlink" Target="mailto:lingissl@gmail.com" TargetMode="External"/><Relationship Id="rId59" Type="http://schemas.openxmlformats.org/officeDocument/2006/relationships/hyperlink" Target="mailto:extrovert.grampa@gmail.com" TargetMode="External"/><Relationship Id="rId67" Type="http://schemas.openxmlformats.org/officeDocument/2006/relationships/hyperlink" Target="mailto:conniegardner1@hotmail.com" TargetMode="External"/><Relationship Id="rId20" Type="http://schemas.openxmlformats.org/officeDocument/2006/relationships/hyperlink" Target="mailto:ghholm2@aol.com" TargetMode="External"/><Relationship Id="rId41" Type="http://schemas.openxmlformats.org/officeDocument/2006/relationships/hyperlink" Target="mailto:linstolen@gmail.com" TargetMode="External"/><Relationship Id="rId54" Type="http://schemas.openxmlformats.org/officeDocument/2006/relationships/hyperlink" Target="mailto:mohalleyfam@sbcglobal.net" TargetMode="External"/><Relationship Id="rId62" Type="http://schemas.openxmlformats.org/officeDocument/2006/relationships/hyperlink" Target="mailto:sjscore44@gmail.com" TargetMode="External"/><Relationship Id="rId70" Type="http://schemas.openxmlformats.org/officeDocument/2006/relationships/hyperlink" Target="mailto:remaxdan@wi.rr.com" TargetMode="External"/><Relationship Id="rId75" Type="http://schemas.openxmlformats.org/officeDocument/2006/relationships/hyperlink" Target="mailto:rholz1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carolann35@m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opLeftCell="A2" workbookViewId="0">
      <pane xSplit="3" ySplit="2" topLeftCell="D182" activePane="bottomRight" state="frozen"/>
      <selection activeCell="A2" sqref="A2"/>
      <selection pane="topRight" activeCell="C2" sqref="C2"/>
      <selection pane="bottomLeft" activeCell="A4" sqref="A4"/>
      <selection pane="bottomRight" activeCell="K195" sqref="K195"/>
    </sheetView>
  </sheetViews>
  <sheetFormatPr defaultRowHeight="14.5" x14ac:dyDescent="0.35"/>
  <cols>
    <col min="1" max="1" width="4.26953125" style="106" customWidth="1"/>
    <col min="2" max="2" width="14.453125" style="1" customWidth="1"/>
    <col min="3" max="3" width="18.36328125" style="1" customWidth="1"/>
    <col min="4" max="12" width="8.7265625" style="1"/>
    <col min="13" max="14" width="8.7265625" style="104"/>
    <col min="15" max="15" width="26" style="1" customWidth="1"/>
    <col min="16" max="16" width="27.54296875" style="62" customWidth="1"/>
    <col min="17" max="17" width="28.6328125" style="62" customWidth="1"/>
    <col min="18" max="18" width="15" style="62" customWidth="1"/>
    <col min="19" max="19" width="6.36328125" style="63" customWidth="1"/>
    <col min="20" max="20" width="11" style="64" customWidth="1"/>
    <col min="21" max="16384" width="8.7265625" style="1"/>
  </cols>
  <sheetData>
    <row r="1" spans="1:20" ht="24" thickBot="1" x14ac:dyDescent="0.6">
      <c r="B1" s="126" t="s">
        <v>293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96"/>
    </row>
    <row r="2" spans="1:20" ht="42.5" customHeight="1" thickBot="1" x14ac:dyDescent="0.4">
      <c r="B2" s="127" t="s">
        <v>2</v>
      </c>
      <c r="C2" s="128"/>
      <c r="D2" s="131">
        <v>2024</v>
      </c>
      <c r="E2" s="132"/>
      <c r="F2" s="132"/>
      <c r="G2" s="132"/>
      <c r="H2" s="133"/>
      <c r="I2" s="131">
        <v>2025</v>
      </c>
      <c r="J2" s="132"/>
      <c r="K2" s="132"/>
      <c r="L2" s="133"/>
      <c r="M2" s="129" t="s">
        <v>576</v>
      </c>
      <c r="N2" s="130"/>
      <c r="O2" s="123" t="s">
        <v>315</v>
      </c>
      <c r="P2" s="124"/>
      <c r="Q2" s="124"/>
      <c r="R2" s="124"/>
      <c r="S2" s="124"/>
      <c r="T2" s="125"/>
    </row>
    <row r="3" spans="1:20" s="76" customFormat="1" ht="29.5" thickBot="1" x14ac:dyDescent="0.4">
      <c r="A3" s="107" t="s">
        <v>546</v>
      </c>
      <c r="B3" s="69" t="s">
        <v>0</v>
      </c>
      <c r="C3" s="70" t="s">
        <v>1</v>
      </c>
      <c r="D3" s="71" t="s">
        <v>4</v>
      </c>
      <c r="E3" s="72" t="s">
        <v>7</v>
      </c>
      <c r="F3" s="77" t="s">
        <v>603</v>
      </c>
      <c r="G3" s="77" t="s">
        <v>425</v>
      </c>
      <c r="H3" s="73" t="s">
        <v>424</v>
      </c>
      <c r="I3" s="71" t="s">
        <v>4</v>
      </c>
      <c r="J3" s="72" t="s">
        <v>7</v>
      </c>
      <c r="K3" s="77" t="s">
        <v>425</v>
      </c>
      <c r="L3" s="73" t="s">
        <v>424</v>
      </c>
      <c r="M3" s="101" t="s">
        <v>5</v>
      </c>
      <c r="N3" s="102" t="s">
        <v>8</v>
      </c>
      <c r="O3" s="99" t="s">
        <v>467</v>
      </c>
      <c r="P3" s="74" t="s">
        <v>314</v>
      </c>
      <c r="Q3" s="74" t="s">
        <v>316</v>
      </c>
      <c r="R3" s="74" t="s">
        <v>317</v>
      </c>
      <c r="S3" s="74" t="s">
        <v>318</v>
      </c>
      <c r="T3" s="75" t="s">
        <v>319</v>
      </c>
    </row>
    <row r="4" spans="1:20" x14ac:dyDescent="0.35">
      <c r="B4" s="27" t="s">
        <v>6</v>
      </c>
      <c r="C4" s="4" t="s">
        <v>574</v>
      </c>
      <c r="D4" s="22"/>
      <c r="E4" s="25"/>
      <c r="F4" s="25">
        <v>504</v>
      </c>
      <c r="G4" s="13">
        <v>500</v>
      </c>
      <c r="H4" s="26">
        <f>IF(D4="",0,IF(G4&gt;0,0,IF(E4="A",D4,IF(E4="M",D4*12,IF(E4="W",D4*Lookups!C$9,IF(E4="B",D4*+Lookups!C$10,IF(E4="S",D4*2,IF(AND(D4=0,G4&gt;0),G4,"ERROR"))))))))</f>
        <v>0</v>
      </c>
      <c r="I4" s="22">
        <v>24</v>
      </c>
      <c r="J4" s="25" t="s">
        <v>41</v>
      </c>
      <c r="K4" s="13"/>
      <c r="L4" s="26">
        <f>IF(I4="",0,IF(K4&gt;0,0,IF(J4="A",I4,IF(J4="M",I4*12,IF(J4="W",I4*Lookups!D$9,IF(J4="B",I4*+Lookups!D$10,IF(J4="S",I4*2,IF(AND(I4=0,K4&gt;0),K4,"ERROR"))))))))</f>
        <v>624</v>
      </c>
      <c r="M4" s="103">
        <f>IF(OR(AND(L4=0,D4=0),K4&gt;0),"",IF(AND(E4="W",J4="W"),ROUND(L4-(D4*Lookups!$C$9),0),ROUND(+L4-H4,0)))</f>
        <v>624</v>
      </c>
      <c r="N4" s="84" t="str">
        <f>IF(K4&gt;0,"E",IF(M4="","",IF(M4=0,"S",IF(AND(M4&gt;0,NOT(D4=0)),"I",IF(AND(M4&gt;0,D4=0),"N",IF(M4&lt;0,"D","ERROR"))))))</f>
        <v>N</v>
      </c>
      <c r="O4" s="97"/>
      <c r="Q4" s="65"/>
    </row>
    <row r="5" spans="1:20" x14ac:dyDescent="0.35">
      <c r="B5" s="27" t="s">
        <v>6</v>
      </c>
      <c r="C5" s="4" t="s">
        <v>575</v>
      </c>
      <c r="D5" s="22"/>
      <c r="E5" s="25"/>
      <c r="F5" s="25">
        <v>1389</v>
      </c>
      <c r="G5" s="13"/>
      <c r="H5" s="26"/>
      <c r="I5" s="22">
        <v>50</v>
      </c>
      <c r="J5" s="25" t="s">
        <v>38</v>
      </c>
      <c r="K5" s="13"/>
      <c r="L5" s="26">
        <f>IF(I5="",0,IF(K5&gt;0,0,IF(J5="A",I5,IF(J5="M",I5*12,IF(J5="W",I5*Lookups!D$9,IF(J5="B",I5*+Lookups!D$10,IF(J5="S",I5*2,IF(AND(I5=0,K5&gt;0),K5,"ERROR"))))))))</f>
        <v>2600</v>
      </c>
      <c r="M5" s="103">
        <f>IF(OR(AND(L5=0,D5=0),K5&gt;0),"",IF(AND(E5="W",J5="W"),ROUND(L5-(D5*Lookups!$C$9),0),ROUND(+L5-H5,0)))</f>
        <v>2600</v>
      </c>
      <c r="N5" s="84" t="str">
        <f t="shared" ref="N5:N56" si="0">IF(K5&gt;0,"E",IF(M5="","",IF(M5=0,"S",IF(AND(M5&gt;0,NOT(D5=0)),"I",IF(AND(M5&gt;0,D5=0),"N",IF(M5&lt;0,"D","ERROR"))))))</f>
        <v>N</v>
      </c>
      <c r="O5" s="97"/>
      <c r="Q5" s="65"/>
    </row>
    <row r="6" spans="1:20" x14ac:dyDescent="0.35">
      <c r="B6" s="27" t="s">
        <v>9</v>
      </c>
      <c r="C6" s="4" t="s">
        <v>10</v>
      </c>
      <c r="D6" s="22">
        <v>1500</v>
      </c>
      <c r="E6" s="25" t="s">
        <v>35</v>
      </c>
      <c r="F6" s="25">
        <v>2500</v>
      </c>
      <c r="G6" s="13"/>
      <c r="H6" s="26">
        <f>IF(D6="",0,IF(G6&gt;0,0,IF(E6="A",D6,IF(E6="M",D6*12,IF(E6="W",D6*Lookups!C$9,IF(E6="B",D6*+Lookups!C$10,IF(E6="S",D6*2,IF(AND(D6=0,G6&gt;0),G6,"ERROR"))))))))</f>
        <v>1500</v>
      </c>
      <c r="I6" s="22">
        <v>3000</v>
      </c>
      <c r="J6" s="25" t="s">
        <v>35</v>
      </c>
      <c r="K6" s="13"/>
      <c r="L6" s="26">
        <f>IF(I6="",0,IF(K6&gt;0,0,IF(J6="A",I6,IF(J6="M",I6*12,IF(J6="W",I6*Lookups!D$9,IF(J6="B",I6*+Lookups!D$10,IF(J6="S",I6*2,IF(AND(I6=0,K6&gt;0),K6,"ERROR"))))))))</f>
        <v>3000</v>
      </c>
      <c r="M6" s="103">
        <f>IF(OR(AND(L6=0,D6=0),K6&gt;0),"",IF(AND(E6="W",J6="W"),ROUND(L6-(D6*Lookups!$C$9),0),ROUND(+L6-H6,0)))</f>
        <v>1500</v>
      </c>
      <c r="N6" s="84" t="str">
        <f t="shared" si="0"/>
        <v>I</v>
      </c>
      <c r="O6" s="97"/>
      <c r="P6" s="61" t="s">
        <v>327</v>
      </c>
      <c r="Q6" s="62" t="s">
        <v>326</v>
      </c>
      <c r="R6" s="62" t="s">
        <v>328</v>
      </c>
      <c r="S6" s="63" t="s">
        <v>323</v>
      </c>
      <c r="T6" s="64">
        <v>53126</v>
      </c>
    </row>
    <row r="7" spans="1:20" x14ac:dyDescent="0.35">
      <c r="A7" s="106" t="s">
        <v>547</v>
      </c>
      <c r="B7" s="27" t="s">
        <v>9</v>
      </c>
      <c r="C7" s="4" t="s">
        <v>213</v>
      </c>
      <c r="D7" s="22"/>
      <c r="E7" s="25"/>
      <c r="F7" s="25"/>
      <c r="G7" s="13">
        <v>3000</v>
      </c>
      <c r="H7" s="26">
        <f>IF(D7="",0,IF(G7&gt;0,0,IF(E7="A",D7,IF(E7="M",D7*12,IF(E7="W",D7*Lookups!C$9,IF(E7="B",D7*+Lookups!C$10,IF(E7="S",D7*2,IF(AND(D7=0,G7&gt;0),G7,"ERROR"))))))))</f>
        <v>0</v>
      </c>
      <c r="I7" s="22"/>
      <c r="J7" s="25"/>
      <c r="K7" s="113"/>
      <c r="L7" s="26">
        <f>IF(I7="",0,IF(K7&gt;0,0,IF(J7="A",I7,IF(J7="M",I7*12,IF(J7="W",I7*Lookups!D$9,IF(J7="B",I7*+Lookups!D$10,IF(J7="S",I7*2,IF(AND(I7=0,K7&gt;0),K7,"ERROR"))))))))</f>
        <v>0</v>
      </c>
      <c r="M7" s="103" t="str">
        <f>IF(OR(AND(L7=0,D7=0),K7&gt;0),"",IF(AND(E7="W",J7="W"),ROUND(L7-(D7*Lookups!$C$9),0),ROUND(+L7-H7,0)))</f>
        <v/>
      </c>
      <c r="N7" s="84" t="str">
        <f t="shared" si="0"/>
        <v/>
      </c>
      <c r="O7" s="97"/>
    </row>
    <row r="8" spans="1:20" x14ac:dyDescent="0.35">
      <c r="B8" s="27" t="s">
        <v>56</v>
      </c>
      <c r="C8" s="4" t="s">
        <v>57</v>
      </c>
      <c r="D8" s="22"/>
      <c r="E8" s="25"/>
      <c r="F8" s="25">
        <v>475</v>
      </c>
      <c r="G8" s="13">
        <v>500</v>
      </c>
      <c r="H8" s="26">
        <f>IF(D8="",0,IF(G8&gt;0,0,IF(E8="A",D8,IF(E8="M",D8*12,IF(E8="W",D8*Lookups!C$9,IF(E8="B",D8*+Lookups!C$10,IF(E8="S",D8*2,IF(AND(D8=0,G8&gt;0),G8,"ERROR"))))))))</f>
        <v>0</v>
      </c>
      <c r="I8" s="22">
        <v>75</v>
      </c>
      <c r="J8" s="25" t="s">
        <v>39</v>
      </c>
      <c r="K8" s="13"/>
      <c r="L8" s="26">
        <f>IF(I8="",0,IF(K8&gt;0,0,IF(J8="A",I8,IF(J8="M",I8*12,IF(J8="W",I8*Lookups!D$9,IF(J8="B",I8*+Lookups!D$10,IF(J8="S",I8*2,IF(AND(I8=0,K8&gt;0),K8,"ERROR"))))))))</f>
        <v>900</v>
      </c>
      <c r="M8" s="103">
        <f>IF(OR(AND(L8=0,D8=0),K8&gt;0),"",IF(AND(E8="W",J8="W"),ROUND(L8-(D8*Lookups!$C$9),0),ROUND(+L8-H8,0)))</f>
        <v>900</v>
      </c>
      <c r="N8" s="84" t="str">
        <f t="shared" si="0"/>
        <v>N</v>
      </c>
      <c r="O8" s="97"/>
      <c r="P8" s="61" t="s">
        <v>325</v>
      </c>
      <c r="Q8" s="62" t="s">
        <v>324</v>
      </c>
      <c r="R8" s="62" t="s">
        <v>322</v>
      </c>
      <c r="S8" s="63" t="s">
        <v>323</v>
      </c>
      <c r="T8" s="64">
        <v>53406</v>
      </c>
    </row>
    <row r="9" spans="1:20" x14ac:dyDescent="0.35">
      <c r="B9" s="27" t="s">
        <v>11</v>
      </c>
      <c r="C9" s="4" t="s">
        <v>60</v>
      </c>
      <c r="D9" s="22"/>
      <c r="E9" s="25"/>
      <c r="F9" s="25">
        <v>1500</v>
      </c>
      <c r="G9" s="13">
        <v>1350</v>
      </c>
      <c r="H9" s="26">
        <f>IF(D9="",0,IF(G9&gt;0,0,IF(E9="A",D9,IF(E9="M",D9*12,IF(E9="W",D9*Lookups!C$9,IF(E9="B",D9*+Lookups!C$10,IF(E9="S",D9*2,IF(AND(D9=0,G9&gt;0),G9,"ERROR"))))))))</f>
        <v>0</v>
      </c>
      <c r="I9" s="22"/>
      <c r="J9" s="25"/>
      <c r="K9" s="13">
        <v>1500</v>
      </c>
      <c r="L9" s="26">
        <f>IF(I9="",0,IF(K9&gt;0,0,IF(J9="A",I9,IF(J9="M",I9*12,IF(J9="W",I9*Lookups!D$9,IF(J9="B",I9*+Lookups!D$10,IF(J9="S",I9*2,IF(AND(I9=0,K9&gt;0),K9,"ERROR"))))))))</f>
        <v>0</v>
      </c>
      <c r="M9" s="103" t="str">
        <f>IF(OR(AND(L9=0,D9=0),K9&gt;0),"",IF(AND(E9="W",J9="W"),ROUND(L9-(D9*Lookups!$C$9),0),ROUND(+L9-H9,0)))</f>
        <v/>
      </c>
      <c r="N9" s="84" t="str">
        <f t="shared" si="0"/>
        <v>E</v>
      </c>
      <c r="O9" s="97"/>
    </row>
    <row r="10" spans="1:20" x14ac:dyDescent="0.35">
      <c r="B10" s="27" t="s">
        <v>58</v>
      </c>
      <c r="C10" s="4" t="s">
        <v>59</v>
      </c>
      <c r="D10" s="22"/>
      <c r="E10" s="25"/>
      <c r="F10" s="25">
        <v>1000</v>
      </c>
      <c r="G10" s="13">
        <v>1200</v>
      </c>
      <c r="H10" s="26">
        <f>IF(D10="",0,IF(G10&gt;0,0,IF(E10="A",D10,IF(E10="M",D10*12,IF(E10="W",D10*Lookups!C$9,IF(E10="B",D10*+Lookups!C$10,IF(E10="S",D10*2,IF(AND(D10=0,G10&gt;0),G10,"ERROR"))))))))</f>
        <v>0</v>
      </c>
      <c r="I10" s="22"/>
      <c r="J10" s="25"/>
      <c r="K10" s="13">
        <v>1200</v>
      </c>
      <c r="L10" s="26">
        <f>IF(I10="",0,IF(K10&gt;0,0,IF(J10="A",I10,IF(J10="M",I10*12,IF(J10="W",I10*Lookups!D$9,IF(J10="B",I10*+Lookups!D$10,IF(J10="S",I10*2,IF(AND(I10=0,K10&gt;0),K10,"ERROR"))))))))</f>
        <v>0</v>
      </c>
      <c r="M10" s="103" t="str">
        <f>IF(OR(AND(L10=0,D10=0),K10&gt;0),"",IF(AND(E10="W",J10="W"),ROUND(L10-(D10*Lookups!$C$9),0),ROUND(+L10-H10,0)))</f>
        <v/>
      </c>
      <c r="N10" s="84" t="str">
        <f t="shared" si="0"/>
        <v>E</v>
      </c>
      <c r="O10" s="97"/>
    </row>
    <row r="11" spans="1:20" x14ac:dyDescent="0.35">
      <c r="B11" s="27" t="s">
        <v>214</v>
      </c>
      <c r="C11" s="4" t="s">
        <v>215</v>
      </c>
      <c r="D11" s="22">
        <v>50</v>
      </c>
      <c r="E11" s="25" t="s">
        <v>39</v>
      </c>
      <c r="F11" s="25">
        <v>1570</v>
      </c>
      <c r="G11" s="13"/>
      <c r="H11" s="26">
        <f>IF(D11="",0,IF(G11&gt;0,0,IF(E11="A",D11,IF(E11="M",D11*12,IF(E11="W",D11*Lookups!C$9,IF(E11="B",D11*+Lookups!C$10,IF(E11="S",D11*2,IF(AND(D11=0,G11&gt;0),G11,"ERROR"))))))))</f>
        <v>600</v>
      </c>
      <c r="I11" s="22">
        <v>50</v>
      </c>
      <c r="J11" s="25" t="s">
        <v>38</v>
      </c>
      <c r="K11" s="13"/>
      <c r="L11" s="26">
        <f>IF(I11="",0,IF(K11&gt;0,0,IF(J11="A",I11,IF(J11="M",I11*12,IF(J11="W",I11*Lookups!D$9,IF(J11="B",I11*+Lookups!D$10,IF(J11="S",I11*2,IF(AND(I11=0,K11&gt;0),K11,"ERROR"))))))))</f>
        <v>2600</v>
      </c>
      <c r="M11" s="103">
        <f>IF(OR(AND(L11=0,D11=0),K11&gt;0),"",IF(AND(E11="W",J11="W"),ROUND(L11-(D11*Lookups!$C$9),0),ROUND(+L11-H11,0)))</f>
        <v>2000</v>
      </c>
      <c r="N11" s="84" t="str">
        <f t="shared" si="0"/>
        <v>I</v>
      </c>
      <c r="O11" s="97"/>
      <c r="P11" s="61" t="s">
        <v>329</v>
      </c>
      <c r="Q11" s="62" t="s">
        <v>330</v>
      </c>
      <c r="R11" s="62" t="s">
        <v>322</v>
      </c>
      <c r="S11" s="63" t="s">
        <v>323</v>
      </c>
      <c r="T11" s="64">
        <v>53406</v>
      </c>
    </row>
    <row r="12" spans="1:20" x14ac:dyDescent="0.35">
      <c r="B12" s="27" t="s">
        <v>13</v>
      </c>
      <c r="C12" s="4" t="s">
        <v>14</v>
      </c>
      <c r="D12" s="22"/>
      <c r="E12" s="25"/>
      <c r="F12" s="25">
        <v>180</v>
      </c>
      <c r="G12" s="13">
        <v>300</v>
      </c>
      <c r="H12" s="26">
        <f>IF(D12="",0,IF(G12&gt;0,0,IF(E12="A",D12,IF(E12="M",D12*12,IF(E12="W",D12*Lookups!C$9,IF(E12="B",D12*+Lookups!C$10,IF(E12="S",D12*2,IF(AND(D12=0,G12&gt;0),G12,"ERROR"))))))))</f>
        <v>0</v>
      </c>
      <c r="I12" s="22"/>
      <c r="J12" s="25"/>
      <c r="K12" s="13">
        <v>200</v>
      </c>
      <c r="L12" s="26">
        <f>IF(I12="",0,IF(K12&gt;0,0,IF(J12="A",I12,IF(J12="M",I12*12,IF(J12="W",I12*Lookups!D$9,IF(J12="B",I12*+Lookups!D$10,IF(J12="S",I12*2,IF(AND(I12=0,K12&gt;0),K12,"ERROR"))))))))</f>
        <v>0</v>
      </c>
      <c r="M12" s="103" t="str">
        <f>IF(OR(AND(L12=0,D12=0),K12&gt;0),"",IF(AND(E12="W",J12="W"),ROUND(L12-(D12*Lookups!$C$9),0),ROUND(+L12-H12,0)))</f>
        <v/>
      </c>
      <c r="N12" s="84" t="str">
        <f t="shared" si="0"/>
        <v>E</v>
      </c>
      <c r="O12" s="97"/>
    </row>
    <row r="13" spans="1:20" x14ac:dyDescent="0.35">
      <c r="B13" s="27" t="s">
        <v>15</v>
      </c>
      <c r="C13" s="4" t="s">
        <v>16</v>
      </c>
      <c r="D13" s="22">
        <v>350</v>
      </c>
      <c r="E13" s="25" t="s">
        <v>39</v>
      </c>
      <c r="F13" s="25">
        <v>3500</v>
      </c>
      <c r="G13" s="13"/>
      <c r="H13" s="26">
        <f>IF(D13="",0,IF(G13&gt;0,0,IF(E13="A",D13,IF(E13="M",D13*12,IF(E13="W",D13*Lookups!C$9,IF(E13="B",D13*+Lookups!C$10,IF(E13="S",D13*2,IF(AND(D13=0,G13&gt;0),G13,"ERROR"))))))))</f>
        <v>4200</v>
      </c>
      <c r="I13" s="22">
        <v>375</v>
      </c>
      <c r="J13" s="25" t="s">
        <v>39</v>
      </c>
      <c r="K13" s="13"/>
      <c r="L13" s="26">
        <f>IF(I13="",0,IF(K13&gt;0,0,IF(J13="A",I13,IF(J13="M",I13*12,IF(J13="W",I13*Lookups!D$9,IF(J13="B",I13*+Lookups!D$10,IF(J13="S",I13*2,IF(AND(I13=0,K13&gt;0),K13,"ERROR"))))))))</f>
        <v>4500</v>
      </c>
      <c r="M13" s="103">
        <f>IF(OR(AND(L13=0,D13=0),K13&gt;0),"",IF(AND(E13="W",J13="W"),ROUND(L13-(D13*Lookups!$C$9),0),ROUND(+L13-H13,0)))</f>
        <v>300</v>
      </c>
      <c r="N13" s="84" t="str">
        <f t="shared" si="0"/>
        <v>I</v>
      </c>
      <c r="O13" s="97" t="s">
        <v>563</v>
      </c>
      <c r="P13" s="61" t="s">
        <v>331</v>
      </c>
      <c r="Q13" s="62" t="s">
        <v>332</v>
      </c>
      <c r="R13" s="62" t="s">
        <v>322</v>
      </c>
      <c r="S13" s="63" t="s">
        <v>323</v>
      </c>
      <c r="T13" s="64">
        <v>53406</v>
      </c>
    </row>
    <row r="14" spans="1:20" x14ac:dyDescent="0.35">
      <c r="B14" s="27" t="s">
        <v>333</v>
      </c>
      <c r="C14" s="4" t="s">
        <v>18</v>
      </c>
      <c r="D14" s="22">
        <v>720</v>
      </c>
      <c r="E14" s="25" t="s">
        <v>39</v>
      </c>
      <c r="F14" s="25">
        <v>7200</v>
      </c>
      <c r="G14" s="13"/>
      <c r="H14" s="26">
        <f>IF(D14="",0,IF(G14&gt;0,0,IF(E14="A",D14,IF(E14="M",D14*12,IF(E14="W",D14*Lookups!C$9,IF(E14="B",D14*+Lookups!C$10,IF(E14="S",D14*2,IF(AND(D14=0,G14&gt;0),G14,"ERROR"))))))))</f>
        <v>8640</v>
      </c>
      <c r="I14" s="22">
        <v>720</v>
      </c>
      <c r="J14" s="25" t="s">
        <v>39</v>
      </c>
      <c r="K14" s="13"/>
      <c r="L14" s="26">
        <f>IF(I14="",0,IF(K14&gt;0,0,IF(J14="A",I14,IF(J14="M",I14*12,IF(J14="W",I14*Lookups!D$9,IF(J14="B",I14*+Lookups!D$10,IF(J14="S",I14*2,IF(AND(I14=0,K14&gt;0),K14,"ERROR"))))))))</f>
        <v>8640</v>
      </c>
      <c r="M14" s="103">
        <f>IF(OR(AND(L14=0,D14=0),K14&gt;0),"",IF(AND(E14="W",J14="W"),ROUND(L14-(D14*Lookups!$C$9),0),ROUND(+L14-H14,0)))</f>
        <v>0</v>
      </c>
      <c r="N14" s="84" t="str">
        <f t="shared" si="0"/>
        <v>S</v>
      </c>
      <c r="O14" s="97"/>
      <c r="P14" s="61" t="s">
        <v>334</v>
      </c>
      <c r="Q14" s="62" t="s">
        <v>335</v>
      </c>
      <c r="R14" s="62" t="s">
        <v>328</v>
      </c>
      <c r="S14" s="63" t="s">
        <v>323</v>
      </c>
      <c r="T14" s="64">
        <v>53126</v>
      </c>
    </row>
    <row r="15" spans="1:20" x14ac:dyDescent="0.35">
      <c r="B15" s="27" t="s">
        <v>17</v>
      </c>
      <c r="C15" s="4" t="s">
        <v>531</v>
      </c>
      <c r="D15" s="22">
        <v>3000</v>
      </c>
      <c r="E15" s="25" t="s">
        <v>35</v>
      </c>
      <c r="F15" s="25">
        <v>1700</v>
      </c>
      <c r="G15" s="13"/>
      <c r="H15" s="26">
        <f>IF(D15="",0,IF(G15&gt;0,0,IF(E15="A",D15,IF(E15="M",D15*12,IF(E15="W",D15*Lookups!C$9,IF(E15="B",D15*+Lookups!C$10,IF(E15="S",D15*2,IF(AND(D15=0,G15&gt;0),G15,"ERROR"))))))))</f>
        <v>3000</v>
      </c>
      <c r="I15" s="22">
        <v>3000</v>
      </c>
      <c r="J15" s="25" t="s">
        <v>35</v>
      </c>
      <c r="K15" s="13"/>
      <c r="L15" s="26">
        <f>IF(I15="",0,IF(K15&gt;0,0,IF(J15="A",I15,IF(J15="M",I15*12,IF(J15="W",I15*Lookups!D$9,IF(J15="B",I15*+Lookups!D$10,IF(J15="S",I15*2,IF(AND(I15=0,K15&gt;0),K15,"ERROR"))))))))</f>
        <v>3000</v>
      </c>
      <c r="M15" s="103">
        <f>IF(OR(AND(L15=0,D15=0),K15&gt;0),"",IF(AND(E15="W",J15="W"),ROUND(L15-(D15*Lookups!$C$9),0),ROUND(+L15-H15,0)))</f>
        <v>0</v>
      </c>
      <c r="N15" s="84" t="str">
        <f t="shared" si="0"/>
        <v>S</v>
      </c>
      <c r="O15" s="97"/>
      <c r="P15" s="61" t="s">
        <v>549</v>
      </c>
      <c r="Q15" s="62" t="s">
        <v>550</v>
      </c>
      <c r="R15" s="62" t="s">
        <v>338</v>
      </c>
      <c r="S15" s="63" t="s">
        <v>323</v>
      </c>
      <c r="T15" s="64">
        <v>53108</v>
      </c>
    </row>
    <row r="16" spans="1:20" x14ac:dyDescent="0.35">
      <c r="B16" s="27" t="s">
        <v>19</v>
      </c>
      <c r="C16" s="4" t="s">
        <v>20</v>
      </c>
      <c r="D16" s="22">
        <v>30</v>
      </c>
      <c r="E16" s="25" t="s">
        <v>38</v>
      </c>
      <c r="F16" s="25">
        <v>1260</v>
      </c>
      <c r="G16" s="13"/>
      <c r="H16" s="26">
        <f>IF(D16="",0,IF(G16&gt;0,0,IF(E16="A",D16,IF(E16="M",D16*12,IF(E16="W",D16*Lookups!C$9,IF(E16="B",D16*+Lookups!C$10,IF(E16="S",D16*2,IF(AND(D16=0,G16&gt;0),G16,"ERROR"))))))))</f>
        <v>1560</v>
      </c>
      <c r="I16" s="22">
        <v>35</v>
      </c>
      <c r="J16" s="25" t="s">
        <v>38</v>
      </c>
      <c r="K16" s="13"/>
      <c r="L16" s="26">
        <f>IF(I16="",0,IF(K16&gt;0,0,IF(J16="A",I16,IF(J16="M",I16*12,IF(J16="W",I16*Lookups!D$9,IF(J16="B",I16*+Lookups!D$10,IF(J16="S",I16*2,IF(AND(I16=0,K16&gt;0),K16,"ERROR"))))))))</f>
        <v>1820</v>
      </c>
      <c r="M16" s="103">
        <f>IF(OR(AND(L16=0,D16=0),K16&gt;0),"",IF(AND(E16="W",J16="W"),ROUND(L16-(D16*Lookups!$C$9),0),ROUND(+L16-H16,0)))</f>
        <v>260</v>
      </c>
      <c r="N16" s="84" t="str">
        <f t="shared" si="0"/>
        <v>I</v>
      </c>
      <c r="O16" s="97"/>
      <c r="P16" s="61" t="s">
        <v>336</v>
      </c>
      <c r="Q16" s="62" t="s">
        <v>337</v>
      </c>
      <c r="R16" s="62" t="s">
        <v>338</v>
      </c>
      <c r="S16" s="63" t="s">
        <v>323</v>
      </c>
      <c r="T16" s="64">
        <v>53108</v>
      </c>
    </row>
    <row r="17" spans="1:21" x14ac:dyDescent="0.35">
      <c r="B17" s="27" t="s">
        <v>21</v>
      </c>
      <c r="C17" s="4" t="s">
        <v>339</v>
      </c>
      <c r="D17" s="22">
        <v>50</v>
      </c>
      <c r="E17" s="25" t="s">
        <v>38</v>
      </c>
      <c r="F17" s="25">
        <v>2150</v>
      </c>
      <c r="G17" s="13"/>
      <c r="H17" s="26">
        <f>IF(D17="",0,IF(G17&gt;0,0,IF(E17="A",D17,IF(E17="M",D17*12,IF(E17="W",D17*Lookups!C$9,IF(E17="B",D17*+Lookups!C$10,IF(E17="S",D17*2,IF(AND(D17=0,G17&gt;0),G17,"ERROR"))))))))</f>
        <v>2600</v>
      </c>
      <c r="I17" s="22">
        <v>50</v>
      </c>
      <c r="J17" s="25" t="s">
        <v>38</v>
      </c>
      <c r="K17" s="13"/>
      <c r="L17" s="26">
        <f>IF(I17="",0,IF(K17&gt;0,0,IF(J17="A",I17,IF(J17="M",I17*12,IF(J17="W",I17*Lookups!D$9,IF(J17="B",I17*+Lookups!D$10,IF(J17="S",I17*2,IF(AND(I17=0,K17&gt;0),K17,"ERROR"))))))))</f>
        <v>2600</v>
      </c>
      <c r="M17" s="103">
        <f>IF(OR(AND(L17=0,D17=0),K17&gt;0),"",IF(AND(E17="W",J17="W"),ROUND(L17-(D17*Lookups!$C$9),0),ROUND(+L17-H17,0)))</f>
        <v>0</v>
      </c>
      <c r="N17" s="84" t="str">
        <f t="shared" si="0"/>
        <v>S</v>
      </c>
      <c r="O17" s="97"/>
      <c r="Q17" s="62" t="s">
        <v>340</v>
      </c>
      <c r="R17" s="62" t="s">
        <v>328</v>
      </c>
      <c r="S17" s="63" t="s">
        <v>323</v>
      </c>
      <c r="T17" s="64">
        <v>53126</v>
      </c>
      <c r="U17" s="62" t="s">
        <v>341</v>
      </c>
    </row>
    <row r="18" spans="1:21" x14ac:dyDescent="0.35">
      <c r="B18" s="24" t="s">
        <v>24</v>
      </c>
      <c r="C18" s="4" t="s">
        <v>25</v>
      </c>
      <c r="D18" s="22">
        <v>200</v>
      </c>
      <c r="E18" s="25" t="s">
        <v>39</v>
      </c>
      <c r="F18" s="25">
        <v>2000</v>
      </c>
      <c r="G18" s="13"/>
      <c r="H18" s="26">
        <f>IF(D18="",0,IF(G18&gt;0,0,IF(E18="A",D18,IF(E18="M",D18*12,IF(E18="W",D18*Lookups!C$9,IF(E18="B",D18*+Lookups!C$10,IF(E18="S",D18*2,IF(AND(D18=0,G18&gt;0),G18,"ERROR"))))))))</f>
        <v>2400</v>
      </c>
      <c r="I18" s="22">
        <v>200</v>
      </c>
      <c r="J18" s="25" t="s">
        <v>39</v>
      </c>
      <c r="K18" s="13"/>
      <c r="L18" s="26">
        <f>IF(I18="",0,IF(K18&gt;0,0,IF(J18="A",I18,IF(J18="M",I18*12,IF(J18="W",I18*Lookups!D$9,IF(J18="B",I18*+Lookups!D$10,IF(J18="S",I18*2,IF(AND(I18=0,K18&gt;0),K18,"ERROR"))))))))</f>
        <v>2400</v>
      </c>
      <c r="M18" s="103">
        <f>IF(OR(AND(L18=0,D18=0),K18&gt;0),"",IF(AND(E18="W",J18="W"),ROUND(L18-(D18*Lookups!$C$9),0),ROUND(+L18-H18,0)))</f>
        <v>0</v>
      </c>
      <c r="N18" s="84" t="str">
        <f t="shared" si="0"/>
        <v>S</v>
      </c>
      <c r="O18" s="97"/>
      <c r="Q18" s="62" t="s">
        <v>568</v>
      </c>
      <c r="R18" s="62" t="s">
        <v>322</v>
      </c>
      <c r="S18" s="63" t="s">
        <v>323</v>
      </c>
      <c r="T18" s="64">
        <v>53406</v>
      </c>
    </row>
    <row r="19" spans="1:21" x14ac:dyDescent="0.35">
      <c r="B19" s="27" t="s">
        <v>24</v>
      </c>
      <c r="C19" s="4" t="s">
        <v>28</v>
      </c>
      <c r="D19" s="22"/>
      <c r="E19" s="25"/>
      <c r="F19" s="25">
        <v>255</v>
      </c>
      <c r="G19" s="13"/>
      <c r="H19" s="26">
        <f>IF(D19="",0,IF(G19&gt;0,0,IF(E19="A",D19,IF(E19="M",D19*12,IF(E19="W",D19*Lookups!C$9,IF(E19="B",D19*+Lookups!C$10,IF(E19="S",D19*2,IF(AND(D19=0,G19&gt;0),G19,"ERROR"))))))))</f>
        <v>0</v>
      </c>
      <c r="I19" s="22">
        <v>1200</v>
      </c>
      <c r="J19" s="25" t="s">
        <v>35</v>
      </c>
      <c r="K19" s="13"/>
      <c r="L19" s="26">
        <f>IF(I19="",0,IF(K19&gt;0,0,IF(J19="A",I19,IF(J19="M",I19*12,IF(J19="W",I19*Lookups!D$9,IF(J19="B",I19*+Lookups!D$10,IF(J19="S",I19*2,IF(AND(I19=0,K19&gt;0),K19,"ERROR"))))))))</f>
        <v>1200</v>
      </c>
      <c r="M19" s="103">
        <f>IF(OR(AND(L19=0,D19=0),K19&gt;0),"",IF(AND(E19="W",J19="W"),ROUND(L19-(D19*Lookups!$C$9),0),ROUND(+L19-H19,0)))</f>
        <v>1200</v>
      </c>
      <c r="N19" s="84" t="str">
        <f t="shared" si="0"/>
        <v>N</v>
      </c>
      <c r="O19" s="97"/>
    </row>
    <row r="20" spans="1:21" x14ac:dyDescent="0.35">
      <c r="B20" s="27" t="s">
        <v>216</v>
      </c>
      <c r="C20" s="4" t="s">
        <v>217</v>
      </c>
      <c r="D20" s="22">
        <v>5</v>
      </c>
      <c r="E20" s="25" t="s">
        <v>38</v>
      </c>
      <c r="F20" s="25">
        <v>40</v>
      </c>
      <c r="G20" s="13"/>
      <c r="H20" s="26">
        <f>IF(D20="",0,IF(G20&gt;0,0,IF(E20="A",D20,IF(E20="M",D20*12,IF(E20="W",D20*Lookups!C$9,IF(E20="B",D20*+Lookups!C$10,IF(E20="S",D20*2,IF(AND(D20=0,G20&gt;0),G20,"ERROR"))))))))</f>
        <v>260</v>
      </c>
      <c r="I20" s="22"/>
      <c r="J20" s="25"/>
      <c r="K20" s="13"/>
      <c r="L20" s="26">
        <f>IF(I20="",0,IF(K20&gt;0,0,IF(J20="A",I20,IF(J20="M",I20*12,IF(J20="W",I20*Lookups!D$9,IF(J20="B",I20*+Lookups!D$10,IF(J20="S",I20*2,IF(AND(I20=0,K20&gt;0),K20,"ERROR"))))))))</f>
        <v>0</v>
      </c>
      <c r="M20" s="103">
        <f>IF(OR(AND(L20=0,D20=0),K20&gt;0),"",IF(AND(E20="W",J20="W"),ROUND(L20-(D20*Lookups!$C$9),0),ROUND(+L20-H20,0)))</f>
        <v>-260</v>
      </c>
      <c r="N20" s="84" t="str">
        <f t="shared" si="0"/>
        <v>D</v>
      </c>
      <c r="O20" s="97"/>
      <c r="P20" s="61" t="s">
        <v>440</v>
      </c>
      <c r="Q20" s="62" t="s">
        <v>441</v>
      </c>
      <c r="R20" s="62" t="s">
        <v>442</v>
      </c>
      <c r="S20" s="63" t="s">
        <v>323</v>
      </c>
      <c r="T20" s="64">
        <v>53144</v>
      </c>
    </row>
    <row r="21" spans="1:21" x14ac:dyDescent="0.35">
      <c r="B21" s="27" t="s">
        <v>216</v>
      </c>
      <c r="C21" s="4" t="s">
        <v>532</v>
      </c>
      <c r="D21" s="22"/>
      <c r="E21" s="25"/>
      <c r="F21" s="25">
        <v>14</v>
      </c>
      <c r="G21" s="13"/>
      <c r="H21" s="26">
        <f>IF(D21="",0,IF(G21&gt;0,0,IF(E21="A",D21,IF(E21="M",D21*12,IF(E21="W",D21*Lookups!C$9,IF(E21="B",D21*+Lookups!C$10,IF(E21="S",D21*2,IF(AND(D21=0,G21&gt;0),G21,"ERROR"))))))))</f>
        <v>0</v>
      </c>
      <c r="I21" s="22"/>
      <c r="J21" s="25"/>
      <c r="K21" s="13"/>
      <c r="L21" s="26">
        <f>IF(I21="",0,IF(K21&gt;0,0,IF(J21="A",I21,IF(J21="M",I21*12,IF(J21="W",I21*Lookups!D$9,IF(J21="B",I21*+Lookups!D$10,IF(J21="S",I21*2,IF(AND(I21=0,K21&gt;0),K21,"ERROR"))))))))</f>
        <v>0</v>
      </c>
      <c r="M21" s="103" t="str">
        <f>IF(OR(AND(L21=0,D21=0),K21&gt;0),"",IF(AND(E21="W",J21="W"),ROUND(L21-(D21*Lookups!$C$9),0),ROUND(+L21-H21,0)))</f>
        <v/>
      </c>
      <c r="N21" s="84" t="str">
        <f t="shared" si="0"/>
        <v/>
      </c>
      <c r="O21" s="97"/>
    </row>
    <row r="22" spans="1:21" x14ac:dyDescent="0.35">
      <c r="B22" s="27" t="s">
        <v>61</v>
      </c>
      <c r="C22" s="4" t="s">
        <v>23</v>
      </c>
      <c r="D22" s="22"/>
      <c r="E22" s="25"/>
      <c r="F22" s="25">
        <v>500</v>
      </c>
      <c r="G22" s="13">
        <v>500</v>
      </c>
      <c r="H22" s="26">
        <f>IF(D22="",0,IF(G22&gt;0,0,IF(E22="A",D22,IF(E22="M",D22*12,IF(E22="W",D22*Lookups!C$9,IF(E22="B",D22*+Lookups!C$10,IF(E22="S",D22*2,IF(AND(D22=0,G22&gt;0),G22,"ERROR"))))))))</f>
        <v>0</v>
      </c>
      <c r="I22" s="22"/>
      <c r="J22" s="25"/>
      <c r="K22" s="13">
        <v>500</v>
      </c>
      <c r="L22" s="26">
        <f>IF(I22="",0,IF(K22&gt;0,0,IF(J22="A",I22,IF(J22="M",I22*12,IF(J22="W",I22*Lookups!D$9,IF(J22="B",I22*+Lookups!D$10,IF(J22="S",I22*2,IF(AND(I22=0,K22&gt;0),K22,"ERROR"))))))))</f>
        <v>0</v>
      </c>
      <c r="M22" s="103" t="str">
        <f>IF(OR(AND(L22=0,D22=0),K22&gt;0),"",IF(AND(E22="W",J22="W"),ROUND(L22-(D22*Lookups!$C$9),0),ROUND(+L22-H22,0)))</f>
        <v/>
      </c>
      <c r="N22" s="84" t="str">
        <f t="shared" si="0"/>
        <v>E</v>
      </c>
      <c r="O22" s="97"/>
    </row>
    <row r="23" spans="1:21" x14ac:dyDescent="0.35">
      <c r="B23" s="27" t="s">
        <v>26</v>
      </c>
      <c r="C23" s="4" t="s">
        <v>27</v>
      </c>
      <c r="D23" s="22">
        <v>80</v>
      </c>
      <c r="E23" s="25" t="s">
        <v>38</v>
      </c>
      <c r="F23" s="25">
        <v>3500</v>
      </c>
      <c r="G23" s="13"/>
      <c r="H23" s="26">
        <f>IF(D23="",0,IF(G23&gt;0,0,IF(E23="A",D23,IF(E23="M",D23*12,IF(E23="W",D23*Lookups!C$9,IF(E23="B",D23*+Lookups!C$10,IF(E23="S",D23*2,IF(AND(D23=0,G23&gt;0),G23,"ERROR"))))))))</f>
        <v>4160</v>
      </c>
      <c r="I23" s="22">
        <v>85</v>
      </c>
      <c r="J23" s="25" t="s">
        <v>38</v>
      </c>
      <c r="K23" s="13"/>
      <c r="L23" s="26">
        <f>IF(I23="",0,IF(K23&gt;0,0,IF(J23="A",I23,IF(J23="M",I23*12,IF(J23="W",I23*Lookups!D$9,IF(J23="B",I23*+Lookups!D$10,IF(J23="S",I23*2,IF(AND(I23=0,K23&gt;0),K23,"ERROR"))))))))</f>
        <v>4420</v>
      </c>
      <c r="M23" s="103">
        <f>IF(OR(AND(L23=0,D23=0),K23&gt;0),"",IF(AND(E23="W",J23="W"),ROUND(L23-(D23*Lookups!$C$9),0),ROUND(+L23-H23,0)))</f>
        <v>260</v>
      </c>
      <c r="N23" s="84" t="str">
        <f t="shared" si="0"/>
        <v>I</v>
      </c>
      <c r="O23" s="97"/>
      <c r="P23" s="61" t="s">
        <v>443</v>
      </c>
      <c r="Q23" s="62" t="s">
        <v>444</v>
      </c>
      <c r="R23" s="62" t="s">
        <v>322</v>
      </c>
      <c r="S23" s="63" t="s">
        <v>323</v>
      </c>
      <c r="T23" s="64">
        <v>53406</v>
      </c>
    </row>
    <row r="24" spans="1:21" x14ac:dyDescent="0.35">
      <c r="B24" s="27" t="s">
        <v>62</v>
      </c>
      <c r="C24" s="4" t="s">
        <v>63</v>
      </c>
      <c r="D24" s="22">
        <v>100</v>
      </c>
      <c r="E24" s="25" t="s">
        <v>39</v>
      </c>
      <c r="F24" s="25">
        <v>1000</v>
      </c>
      <c r="G24" s="13"/>
      <c r="H24" s="26">
        <f>IF(D24="",0,IF(G24&gt;0,0,IF(E24="A",D24,IF(E24="M",D24*12,IF(E24="W",D24*Lookups!C$9,IF(E24="B",D24*+Lookups!C$10,IF(E24="S",D24*2,IF(AND(D24=0,G24&gt;0),G24,"ERROR"))))))))</f>
        <v>1200</v>
      </c>
      <c r="I24" s="22">
        <v>100</v>
      </c>
      <c r="J24" s="25" t="s">
        <v>39</v>
      </c>
      <c r="K24" s="13"/>
      <c r="L24" s="26">
        <f>IF(I24="",0,IF(K24&gt;0,0,IF(J24="A",I24,IF(J24="M",I24*12,IF(J24="W",I24*Lookups!D$9,IF(J24="B",I24*+Lookups!D$10,IF(J24="S",I24*2,IF(AND(I24=0,K24&gt;0),K24,"ERROR"))))))))</f>
        <v>1200</v>
      </c>
      <c r="M24" s="103">
        <f>IF(OR(AND(L24=0,D24=0),K24&gt;0),"",IF(AND(E24="W",J24="W"),ROUND(L24-(D24*Lookups!$C$9),0),ROUND(+L24-H24,0)))</f>
        <v>0</v>
      </c>
      <c r="N24" s="84" t="str">
        <f t="shared" si="0"/>
        <v>S</v>
      </c>
      <c r="O24" s="97"/>
      <c r="P24" s="61" t="s">
        <v>342</v>
      </c>
      <c r="Q24" s="62" t="s">
        <v>343</v>
      </c>
      <c r="R24" s="62" t="s">
        <v>344</v>
      </c>
      <c r="S24" s="63" t="s">
        <v>323</v>
      </c>
      <c r="T24" s="64">
        <v>53402</v>
      </c>
    </row>
    <row r="25" spans="1:21" x14ac:dyDescent="0.35">
      <c r="B25" s="27" t="s">
        <v>29</v>
      </c>
      <c r="C25" s="4" t="s">
        <v>30</v>
      </c>
      <c r="D25" s="22">
        <v>50</v>
      </c>
      <c r="E25" s="25" t="s">
        <v>39</v>
      </c>
      <c r="F25" s="25">
        <v>500</v>
      </c>
      <c r="G25" s="13"/>
      <c r="H25" s="26">
        <f>IF(D25="",0,IF(G25&gt;0,0,IF(E25="A",D25,IF(E25="M",D25*12,IF(E25="W",D25*Lookups!C$9,IF(E25="B",D25*+Lookups!C$10,IF(E25="S",D25*2,IF(AND(D25=0,G25&gt;0),G25,"ERROR"))))))))</f>
        <v>600</v>
      </c>
      <c r="I25" s="22">
        <v>50</v>
      </c>
      <c r="J25" s="25" t="s">
        <v>39</v>
      </c>
      <c r="K25" s="13"/>
      <c r="L25" s="26">
        <f>IF(I25="",0,IF(K25&gt;0,0,IF(J25="A",I25,IF(J25="M",I25*12,IF(J25="W",I25*Lookups!D$9,IF(J25="B",I25*+Lookups!D$10,IF(J25="S",I25*2,IF(AND(I25=0,K25&gt;0),K25,"ERROR"))))))))</f>
        <v>600</v>
      </c>
      <c r="M25" s="103">
        <f>IF(OR(AND(L25=0,D25=0),K25&gt;0),"",IF(AND(E25="W",J25="W"),ROUND(L25-(D25*Lookups!$C$9),0),ROUND(+L25-H25,0)))</f>
        <v>0</v>
      </c>
      <c r="N25" s="84" t="str">
        <f t="shared" si="0"/>
        <v>S</v>
      </c>
      <c r="O25" s="97"/>
      <c r="P25" s="61" t="s">
        <v>345</v>
      </c>
      <c r="Q25" s="62" t="s">
        <v>445</v>
      </c>
      <c r="R25" s="62" t="s">
        <v>346</v>
      </c>
      <c r="S25" s="63" t="s">
        <v>323</v>
      </c>
      <c r="T25" s="64">
        <v>53182</v>
      </c>
    </row>
    <row r="26" spans="1:21" x14ac:dyDescent="0.35">
      <c r="B26" s="27" t="s">
        <v>29</v>
      </c>
      <c r="C26" s="4" t="s">
        <v>31</v>
      </c>
      <c r="D26" s="22">
        <v>25</v>
      </c>
      <c r="E26" s="25" t="s">
        <v>39</v>
      </c>
      <c r="F26" s="25">
        <v>250</v>
      </c>
      <c r="G26" s="13"/>
      <c r="H26" s="26">
        <f>IF(D26="",0,IF(G26&gt;0,0,IF(E26="A",D26,IF(E26="M",D26*12,IF(E26="W",D26*Lookups!C$9,IF(E26="B",D26*+Lookups!C$10,IF(E26="S",D26*2,IF(AND(D26=0,G26&gt;0),G26,"ERROR"))))))))</f>
        <v>300</v>
      </c>
      <c r="I26" s="22">
        <v>25</v>
      </c>
      <c r="J26" s="25" t="s">
        <v>39</v>
      </c>
      <c r="K26" s="13"/>
      <c r="L26" s="26">
        <f>IF(I26="",0,IF(K26&gt;0,0,IF(J26="A",I26,IF(J26="M",I26*12,IF(J26="W",I26*Lookups!D$9,IF(J26="B",I26*+Lookups!D$10,IF(J26="S",I26*2,IF(AND(I26=0,K26&gt;0),K26,"ERROR"))))))))</f>
        <v>300</v>
      </c>
      <c r="M26" s="103">
        <f>IF(OR(AND(L26=0,D26=0),K26&gt;0),"",IF(AND(E26="W",J26="W"),ROUND(L26-(D26*Lookups!$C$9),0),ROUND(+L26-H26,0)))</f>
        <v>0</v>
      </c>
      <c r="N26" s="84" t="str">
        <f t="shared" si="0"/>
        <v>S</v>
      </c>
      <c r="O26" s="97"/>
      <c r="Q26" s="62" t="s">
        <v>446</v>
      </c>
      <c r="R26" s="62" t="s">
        <v>442</v>
      </c>
      <c r="S26" s="63" t="s">
        <v>323</v>
      </c>
      <c r="T26" s="64">
        <v>53144</v>
      </c>
    </row>
    <row r="27" spans="1:21" x14ac:dyDescent="0.35">
      <c r="B27" s="27" t="s">
        <v>429</v>
      </c>
      <c r="C27" s="4" t="s">
        <v>430</v>
      </c>
      <c r="D27" s="22">
        <v>200</v>
      </c>
      <c r="E27" s="25" t="s">
        <v>39</v>
      </c>
      <c r="F27" s="25">
        <v>2000</v>
      </c>
      <c r="G27" s="13"/>
      <c r="H27" s="26">
        <f>IF(D27="",0,IF(G27&gt;0,0,IF(E27="A",D27,IF(E27="M",D27*12,IF(E27="W",D27*Lookups!C$9,IF(E27="B",D27*+Lookups!C$10,IF(E27="S",D27*2,IF(AND(D27=0,G27&gt;0),G27,"ERROR"))))))))</f>
        <v>2400</v>
      </c>
      <c r="I27" s="22">
        <v>200</v>
      </c>
      <c r="J27" s="25" t="s">
        <v>39</v>
      </c>
      <c r="K27" s="13"/>
      <c r="L27" s="26">
        <f>IF(I27="",0,IF(K27&gt;0,0,IF(J27="A",I27,IF(J27="M",I27*12,IF(J27="W",I27*Lookups!D$9,IF(J27="B",I27*+Lookups!D$10,IF(J27="S",I27*2,IF(AND(I27=0,K27&gt;0),K27,"ERROR"))))))))</f>
        <v>2400</v>
      </c>
      <c r="M27" s="103">
        <f>IF(OR(AND(L27=0,D27=0),K27&gt;0),"",IF(AND(E27="W",J27="W"),ROUND(L27-(D27*Lookups!$C$9),0),ROUND(+L27-H27,0)))</f>
        <v>0</v>
      </c>
      <c r="N27" s="84" t="str">
        <f t="shared" si="0"/>
        <v>S</v>
      </c>
      <c r="O27" s="97"/>
      <c r="P27" s="61" t="s">
        <v>447</v>
      </c>
      <c r="Q27" s="62" t="s">
        <v>448</v>
      </c>
      <c r="R27" s="62" t="s">
        <v>449</v>
      </c>
      <c r="S27" s="63" t="s">
        <v>323</v>
      </c>
      <c r="T27" s="64">
        <v>53402</v>
      </c>
    </row>
    <row r="28" spans="1:21" x14ac:dyDescent="0.35">
      <c r="A28" s="106" t="s">
        <v>547</v>
      </c>
      <c r="B28" s="24" t="s">
        <v>32</v>
      </c>
      <c r="C28" s="4" t="s">
        <v>33</v>
      </c>
      <c r="D28" s="22"/>
      <c r="E28" s="25"/>
      <c r="F28" s="25"/>
      <c r="G28" s="13">
        <v>500</v>
      </c>
      <c r="H28" s="26">
        <f>IF(D28="",0,IF(G28&gt;0,0,IF(E28="A",D28,IF(E28="M",D28*12,IF(E28="W",D28*Lookups!C$9,IF(E28="B",D28*+Lookups!C$10,IF(E28="S",D28*2,IF(AND(D28=0,G28&gt;0),G28,"ERROR"))))))))</f>
        <v>0</v>
      </c>
      <c r="I28" s="22"/>
      <c r="J28" s="25"/>
      <c r="K28" s="13"/>
      <c r="L28" s="26">
        <f>IF(I28="",0,IF(K28&gt;0,0,IF(J28="A",I28,IF(J28="M",I28*12,IF(J28="W",I28*Lookups!D$9,IF(J28="B",I28*+Lookups!D$10,IF(J28="S",I28*2,IF(AND(I28=0,K28&gt;0),K28,"ERROR"))))))))</f>
        <v>0</v>
      </c>
      <c r="M28" s="103" t="str">
        <f>IF(OR(AND(L28=0,D28=0),K28&gt;0),"",IF(AND(E28="W",J28="W"),ROUND(L28-(D28*Lookups!$C$9),0),ROUND(+L28-H28,0)))</f>
        <v/>
      </c>
      <c r="N28" s="84" t="str">
        <f t="shared" si="0"/>
        <v/>
      </c>
      <c r="O28" s="97"/>
    </row>
    <row r="29" spans="1:21" x14ac:dyDescent="0.35">
      <c r="B29" s="24" t="s">
        <v>218</v>
      </c>
      <c r="C29" s="4" t="s">
        <v>562</v>
      </c>
      <c r="D29" s="22">
        <v>125</v>
      </c>
      <c r="E29" s="25" t="s">
        <v>39</v>
      </c>
      <c r="F29" s="25">
        <v>1250</v>
      </c>
      <c r="G29" s="13"/>
      <c r="H29" s="26">
        <f>IF(D29="",0,IF(G29&gt;0,0,IF(E29="A",D29,IF(E29="M",D29*12,IF(E29="W",D29*Lookups!C$9,IF(E29="B",D29*+Lookups!C$10,IF(E29="S",D29*2,IF(AND(D29=0,G29&gt;0),G29,"ERROR"))))))))</f>
        <v>1500</v>
      </c>
      <c r="I29" s="22">
        <v>135</v>
      </c>
      <c r="J29" s="25" t="s">
        <v>39</v>
      </c>
      <c r="K29" s="13"/>
      <c r="L29" s="26">
        <f>IF(I29="",0,IF(K29&gt;0,0,IF(J29="A",I29,IF(J29="M",I29*12,IF(J29="W",I29*Lookups!D$9,IF(J29="B",I29*+Lookups!D$10,IF(J29="S",I29*2,IF(AND(I29=0,K29&gt;0),K29,"ERROR"))))))))</f>
        <v>1620</v>
      </c>
      <c r="M29" s="103">
        <f>IF(OR(AND(L29=0,D29=0),K29&gt;0),"",IF(AND(E29="W",J29="W"),ROUND(L29-(D29*Lookups!$C$9),0),ROUND(+L29-H29,0)))</f>
        <v>120</v>
      </c>
      <c r="N29" s="84" t="str">
        <f t="shared" si="0"/>
        <v>I</v>
      </c>
      <c r="O29" s="97"/>
      <c r="P29" s="61" t="s">
        <v>347</v>
      </c>
      <c r="Q29" s="62" t="s">
        <v>348</v>
      </c>
      <c r="R29" s="62" t="s">
        <v>344</v>
      </c>
      <c r="S29" s="63" t="s">
        <v>323</v>
      </c>
      <c r="T29" s="64">
        <v>53403</v>
      </c>
    </row>
    <row r="30" spans="1:21" x14ac:dyDescent="0.35">
      <c r="B30" s="27" t="s">
        <v>34</v>
      </c>
      <c r="C30" s="4" t="s">
        <v>432</v>
      </c>
      <c r="D30" s="22">
        <v>200</v>
      </c>
      <c r="E30" s="25" t="s">
        <v>39</v>
      </c>
      <c r="F30" s="25">
        <v>2000</v>
      </c>
      <c r="G30" s="13"/>
      <c r="H30" s="26">
        <f>IF(D30="",0,IF(G30&gt;0,0,IF(E30="A",D30,IF(E30="M",D30*12,IF(E30="W",D30*Lookups!C$9,IF(E30="B",D30*+Lookups!C$10,IF(E30="S",D30*2,IF(AND(D30=0,G30&gt;0),G30,"ERROR"))))))))</f>
        <v>2400</v>
      </c>
      <c r="I30" s="22">
        <v>200</v>
      </c>
      <c r="J30" s="25" t="s">
        <v>39</v>
      </c>
      <c r="K30" s="13"/>
      <c r="L30" s="26">
        <f>IF(I30="",0,IF(K30&gt;0,0,IF(J30="A",I30,IF(J30="M",I30*12,IF(J30="W",I30*Lookups!D$9,IF(J30="B",I30*+Lookups!D$10,IF(J30="S",I30*2,IF(AND(I30=0,K30&gt;0),K30,"ERROR"))))))))</f>
        <v>2400</v>
      </c>
      <c r="M30" s="103">
        <f>IF(OR(AND(L30=0,D30=0),K30&gt;0),"",IF(AND(E30="W",J30="W"),ROUND(L30-(D30*Lookups!$C$9),0),ROUND(+L30-H30,0)))</f>
        <v>0</v>
      </c>
      <c r="N30" s="84" t="str">
        <f t="shared" si="0"/>
        <v>S</v>
      </c>
      <c r="O30" s="97"/>
      <c r="P30" s="61" t="s">
        <v>450</v>
      </c>
      <c r="Q30" s="62" t="s">
        <v>451</v>
      </c>
      <c r="R30" s="62" t="s">
        <v>322</v>
      </c>
      <c r="S30" s="63" t="s">
        <v>323</v>
      </c>
      <c r="T30" s="64">
        <v>53403</v>
      </c>
    </row>
    <row r="31" spans="1:21" x14ac:dyDescent="0.35">
      <c r="B31" s="27" t="s">
        <v>219</v>
      </c>
      <c r="C31" s="4" t="s">
        <v>37</v>
      </c>
      <c r="D31" s="22">
        <v>55</v>
      </c>
      <c r="E31" s="25" t="s">
        <v>38</v>
      </c>
      <c r="F31" s="25">
        <v>2110</v>
      </c>
      <c r="G31" s="13"/>
      <c r="H31" s="26">
        <f>IF(D31="",0,IF(G31&gt;0,0,IF(E31="A",D31,IF(E31="M",D31*12,IF(E31="W",D31*Lookups!C$9,IF(E31="B",D31*+Lookups!C$10,IF(E31="S",D31*2,IF(AND(D31=0,G31&gt;0),G31,"ERROR"))))))))</f>
        <v>2860</v>
      </c>
      <c r="I31" s="22">
        <v>55</v>
      </c>
      <c r="J31" s="25" t="s">
        <v>38</v>
      </c>
      <c r="K31" s="13"/>
      <c r="L31" s="26">
        <f>IF(I31="",0,IF(K31&gt;0,0,IF(J31="A",I31,IF(J31="M",I31*12,IF(J31="W",I31*Lookups!D$9,IF(J31="B",I31*+Lookups!D$10,IF(J31="S",I31*2,IF(AND(I31=0,K31&gt;0),K31,"ERROR"))))))))</f>
        <v>2860</v>
      </c>
      <c r="M31" s="103">
        <f>IF(OR(AND(L31=0,D31=0),K31&gt;0),"",IF(AND(E31="W",J31="W"),ROUND(L31-(D31*Lookups!$C$9),0),ROUND(+L31-H31,0)))</f>
        <v>0</v>
      </c>
      <c r="N31" s="84" t="str">
        <f t="shared" si="0"/>
        <v>S</v>
      </c>
      <c r="O31" s="97"/>
      <c r="P31" s="61" t="s">
        <v>452</v>
      </c>
      <c r="Q31" s="62" t="s">
        <v>453</v>
      </c>
      <c r="R31" s="62" t="s">
        <v>322</v>
      </c>
      <c r="S31" s="63" t="s">
        <v>323</v>
      </c>
      <c r="T31" s="64">
        <v>53406</v>
      </c>
    </row>
    <row r="32" spans="1:21" x14ac:dyDescent="0.35">
      <c r="B32" s="27" t="s">
        <v>220</v>
      </c>
      <c r="C32" s="4" t="s">
        <v>221</v>
      </c>
      <c r="D32" s="22"/>
      <c r="E32" s="25"/>
      <c r="F32" s="25">
        <v>218</v>
      </c>
      <c r="G32" s="13"/>
      <c r="H32" s="26">
        <f>IF(D32="",0,IF(G32&gt;0,0,IF(E32="A",D32,IF(E32="M",D32*12,IF(E32="W",D32*Lookups!C$9,IF(E32="B",D32*+Lookups!C$10,IF(E32="S",D32*2,IF(AND(D32=0,G32&gt;0),G32,"ERROR"))))))))</f>
        <v>0</v>
      </c>
      <c r="I32" s="22">
        <v>40</v>
      </c>
      <c r="J32" s="25" t="s">
        <v>39</v>
      </c>
      <c r="K32" s="13"/>
      <c r="L32" s="26">
        <f>IF(I32="",0,IF(K32&gt;0,0,IF(J32="A",I32,IF(J32="M",I32*12,IF(J32="W",I32*Lookups!D$9,IF(J32="B",I32*+Lookups!D$10,IF(J32="S",I32*2,IF(AND(I32=0,K32&gt;0),K32,"ERROR"))))))))</f>
        <v>480</v>
      </c>
      <c r="M32" s="103">
        <f>IF(OR(AND(L32=0,D32=0),K32&gt;0),"",IF(AND(E32="W",J32="W"),ROUND(L32-(D32*Lookups!$C$9),0),ROUND(+L32-H32,0)))</f>
        <v>480</v>
      </c>
      <c r="N32" s="84" t="str">
        <f t="shared" si="0"/>
        <v>N</v>
      </c>
      <c r="O32" s="97"/>
    </row>
    <row r="33" spans="1:20" x14ac:dyDescent="0.35">
      <c r="B33" s="27" t="s">
        <v>222</v>
      </c>
      <c r="C33" s="4" t="s">
        <v>223</v>
      </c>
      <c r="D33" s="22"/>
      <c r="E33" s="25"/>
      <c r="F33" s="25">
        <v>500</v>
      </c>
      <c r="G33" s="13">
        <f>50*12</f>
        <v>600</v>
      </c>
      <c r="H33" s="26">
        <f>IF(D33="",0,IF(G33&gt;0,0,IF(E33="A",D33,IF(E33="M",D33*12,IF(E33="W",D33*Lookups!C$9,IF(E33="B",D33*+Lookups!C$10,IF(E33="S",D33*2,IF(AND(D33=0,G33&gt;0),G33,"ERROR"))))))))</f>
        <v>0</v>
      </c>
      <c r="I33" s="22"/>
      <c r="J33" s="25"/>
      <c r="K33" s="13">
        <v>500</v>
      </c>
      <c r="L33" s="26">
        <f>IF(I33="",0,IF(K33&gt;0,0,IF(J33="A",I33,IF(J33="M",I33*12,IF(J33="W",I33*Lookups!D$9,IF(J33="B",I33*+Lookups!D$10,IF(J33="S",I33*2,IF(AND(I33=0,K33&gt;0),K33,"ERROR"))))))))</f>
        <v>0</v>
      </c>
      <c r="M33" s="103" t="str">
        <f>IF(OR(AND(L33=0,D33=0),K33&gt;0),"",IF(AND(E33="W",J33="W"),ROUND(L33-(D33*Lookups!$C$9),0),ROUND(+L33-H33,0)))</f>
        <v/>
      </c>
      <c r="N33" s="84" t="str">
        <f t="shared" si="0"/>
        <v>E</v>
      </c>
      <c r="O33" s="97"/>
    </row>
    <row r="34" spans="1:20" x14ac:dyDescent="0.35">
      <c r="A34" s="106" t="s">
        <v>547</v>
      </c>
      <c r="B34" s="27" t="s">
        <v>295</v>
      </c>
      <c r="C34" s="4" t="s">
        <v>296</v>
      </c>
      <c r="D34" s="22"/>
      <c r="E34" s="25"/>
      <c r="F34" s="25"/>
      <c r="G34" s="13">
        <f>16.6666666666667*12</f>
        <v>200.0000000000004</v>
      </c>
      <c r="H34" s="26">
        <f>IF(D34="",0,IF(G34&gt;0,0,IF(E34="A",D34,IF(E34="M",D34*12,IF(E34="W",D34*Lookups!C$9,IF(E34="B",D34*+Lookups!C$10,IF(E34="S",D34*2,IF(AND(D34=0,G34&gt;0),G34,"ERROR"))))))))</f>
        <v>0</v>
      </c>
      <c r="I34" s="22"/>
      <c r="J34" s="25"/>
      <c r="K34" s="13"/>
      <c r="L34" s="26">
        <f>IF(I34="",0,IF(K34&gt;0,0,IF(J34="A",I34,IF(J34="M",I34*12,IF(J34="W",I34*Lookups!D$9,IF(J34="B",I34*+Lookups!D$10,IF(J34="S",I34*2,IF(AND(I34=0,K34&gt;0),K34,"ERROR"))))))))</f>
        <v>0</v>
      </c>
      <c r="M34" s="103" t="str">
        <f>IF(OR(AND(L34=0,D34=0),K34&gt;0),"",IF(AND(E34="W",J34="W"),ROUND(L34-(D34*Lookups!$C$9),0),ROUND(+L34-H34,0)))</f>
        <v/>
      </c>
      <c r="N34" s="84" t="str">
        <f t="shared" si="0"/>
        <v/>
      </c>
      <c r="O34" s="97"/>
    </row>
    <row r="35" spans="1:20" x14ac:dyDescent="0.35">
      <c r="B35" s="24" t="s">
        <v>64</v>
      </c>
      <c r="C35" s="4" t="s">
        <v>65</v>
      </c>
      <c r="D35" s="22"/>
      <c r="E35" s="25"/>
      <c r="F35" s="25">
        <v>5050</v>
      </c>
      <c r="G35" s="13">
        <v>5000</v>
      </c>
      <c r="H35" s="26">
        <f>IF(D35="",0,IF(G35&gt;0,0,IF(E35="A",D35,IF(E35="M",D35*12,IF(E35="W",D35*Lookups!C$9,IF(E35="B",D35*+Lookups!C$10,IF(E35="S",D35*2,IF(AND(D35=0,G35&gt;0),G35,"ERROR"))))))))</f>
        <v>0</v>
      </c>
      <c r="I35" s="22">
        <v>5000</v>
      </c>
      <c r="J35" s="25" t="s">
        <v>35</v>
      </c>
      <c r="K35" s="13">
        <v>5000</v>
      </c>
      <c r="L35" s="26">
        <f>IF(I35="",0,IF(K35&gt;0,0,IF(J35="A",I35,IF(J35="M",I35*12,IF(J35="W",I35*Lookups!D$9,IF(J35="B",I35*+Lookups!D$10,IF(J35="S",I35*2,IF(AND(I35=0,K35&gt;0),K35,"ERROR"))))))))</f>
        <v>0</v>
      </c>
      <c r="M35" s="103" t="str">
        <f>IF(OR(AND(L35=0,D35=0),K35&gt;0),"",IF(AND(E35="W",J35="W"),ROUND(L35-(D35*Lookups!$C$9),0),ROUND(+L35-H35,0)))</f>
        <v/>
      </c>
      <c r="N35" s="84" t="str">
        <f t="shared" si="0"/>
        <v>E</v>
      </c>
      <c r="O35" s="97"/>
    </row>
    <row r="36" spans="1:20" x14ac:dyDescent="0.35">
      <c r="B36" s="27" t="s">
        <v>297</v>
      </c>
      <c r="C36" s="4" t="s">
        <v>298</v>
      </c>
      <c r="D36" s="22"/>
      <c r="E36" s="25"/>
      <c r="F36" s="25">
        <v>60</v>
      </c>
      <c r="G36" s="13"/>
      <c r="H36" s="26">
        <f>IF(D36="",0,IF(G36&gt;0,0,IF(E36="A",D36,IF(E36="M",D36*12,IF(E36="W",D36*Lookups!C$9,IF(E36="B",D36*+Lookups!C$10,IF(E36="S",D36*2,IF(AND(D36=0,G36&gt;0),G36,"ERROR"))))))))</f>
        <v>0</v>
      </c>
      <c r="I36" s="22"/>
      <c r="J36" s="25"/>
      <c r="K36" s="13"/>
      <c r="L36" s="26">
        <f>IF(I36="",0,IF(K36&gt;0,0,IF(J36="A",I36,IF(J36="M",I36*12,IF(J36="W",I36*Lookups!D$9,IF(J36="B",I36*+Lookups!D$10,IF(J36="S",I36*2,IF(AND(I36=0,K36&gt;0),K36,"ERROR"))))))))</f>
        <v>0</v>
      </c>
      <c r="M36" s="103" t="str">
        <f>IF(OR(AND(L36=0,D36=0),K36&gt;0),"",IF(AND(E36="W",J36="W"),ROUND(L36-(D36*Lookups!$C$9),0),ROUND(+L36-H36,0)))</f>
        <v/>
      </c>
      <c r="N36" s="84" t="str">
        <f t="shared" si="0"/>
        <v/>
      </c>
      <c r="O36" s="97"/>
    </row>
    <row r="37" spans="1:20" x14ac:dyDescent="0.35">
      <c r="B37" s="27" t="s">
        <v>224</v>
      </c>
      <c r="C37" s="4" t="s">
        <v>143</v>
      </c>
      <c r="D37" s="22">
        <v>5</v>
      </c>
      <c r="E37" s="25" t="s">
        <v>38</v>
      </c>
      <c r="F37" s="25">
        <v>400</v>
      </c>
      <c r="G37" s="13"/>
      <c r="H37" s="26">
        <f>IF(D37="",0,IF(G37&gt;0,0,IF(E37="A",D37,IF(E37="M",D37*12,IF(E37="W",D37*Lookups!C$9,IF(E37="B",D37*+Lookups!C$10,IF(E37="S",D37*2,IF(AND(D37=0,G37&gt;0),G37,"ERROR"))))))))</f>
        <v>260</v>
      </c>
      <c r="I37" s="22">
        <v>10</v>
      </c>
      <c r="J37" s="25" t="s">
        <v>38</v>
      </c>
      <c r="K37" s="13"/>
      <c r="L37" s="26">
        <f>IF(I37="",0,IF(K37&gt;0,0,IF(J37="A",I37,IF(J37="M",I37*12,IF(J37="W",I37*Lookups!D$9,IF(J37="B",I37*+Lookups!D$10,IF(J37="S",I37*2,IF(AND(I37=0,K37&gt;0),K37,"ERROR"))))))))</f>
        <v>520</v>
      </c>
      <c r="M37" s="103">
        <f>IF(OR(AND(L37=0,D37=0),K37&gt;0),"",IF(AND(E37="W",J37="W"),ROUND(L37-(D37*Lookups!$C$9),0),ROUND(+L37-H37,0)))</f>
        <v>260</v>
      </c>
      <c r="N37" s="84" t="str">
        <f t="shared" si="0"/>
        <v>I</v>
      </c>
      <c r="O37" s="97"/>
      <c r="Q37" s="62" t="s">
        <v>454</v>
      </c>
      <c r="R37" s="62" t="s">
        <v>344</v>
      </c>
      <c r="S37" s="63" t="s">
        <v>323</v>
      </c>
      <c r="T37" s="64">
        <v>53406</v>
      </c>
    </row>
    <row r="38" spans="1:20" x14ac:dyDescent="0.35">
      <c r="B38" s="27" t="s">
        <v>66</v>
      </c>
      <c r="C38" s="4" t="s">
        <v>67</v>
      </c>
      <c r="D38" s="22">
        <v>150</v>
      </c>
      <c r="E38" s="25" t="s">
        <v>39</v>
      </c>
      <c r="F38" s="25">
        <v>1500</v>
      </c>
      <c r="G38" s="13"/>
      <c r="H38" s="26">
        <f>IF(D38="",0,IF(G38&gt;0,0,IF(E38="A",D38,IF(E38="M",D38*12,IF(E38="W",D38*Lookups!C$9,IF(E38="B",D38*+Lookups!C$10,IF(E38="S",D38*2,IF(AND(D38=0,G38&gt;0),G38,"ERROR"))))))))</f>
        <v>1800</v>
      </c>
      <c r="I38" s="22">
        <v>155</v>
      </c>
      <c r="J38" s="25" t="s">
        <v>39</v>
      </c>
      <c r="K38" s="13"/>
      <c r="L38" s="26">
        <f>IF(I38="",0,IF(K38&gt;0,0,IF(J38="A",I38,IF(J38="M",I38*12,IF(J38="W",I38*Lookups!D$9,IF(J38="B",I38*+Lookups!D$10,IF(J38="S",I38*2,IF(AND(I38=0,K38&gt;0),K38,"ERROR"))))))))</f>
        <v>1860</v>
      </c>
      <c r="M38" s="103">
        <f>IF(OR(AND(L38=0,D38=0),K38&gt;0),"",IF(AND(E38="W",J38="W"),ROUND(L38-(D38*Lookups!$C$9),0),ROUND(+L38-H38,0)))</f>
        <v>60</v>
      </c>
      <c r="N38" s="84" t="str">
        <f t="shared" si="0"/>
        <v>I</v>
      </c>
      <c r="O38" s="97"/>
      <c r="P38" s="61" t="s">
        <v>349</v>
      </c>
      <c r="Q38" s="62" t="s">
        <v>350</v>
      </c>
      <c r="R38" s="62" t="s">
        <v>322</v>
      </c>
      <c r="S38" s="63" t="s">
        <v>323</v>
      </c>
      <c r="T38" s="64" t="s">
        <v>458</v>
      </c>
    </row>
    <row r="39" spans="1:20" x14ac:dyDescent="0.35">
      <c r="B39" s="24" t="s">
        <v>68</v>
      </c>
      <c r="C39" s="4" t="s">
        <v>69</v>
      </c>
      <c r="D39" s="22">
        <v>25</v>
      </c>
      <c r="E39" s="25" t="s">
        <v>38</v>
      </c>
      <c r="F39" s="25">
        <v>930</v>
      </c>
      <c r="G39" s="13"/>
      <c r="H39" s="26">
        <f>IF(D39="",0,IF(G39&gt;0,0,IF(E39="A",D39,IF(E39="M",D39*12,IF(E39="W",D39*Lookups!C$9,IF(E39="B",D39*+Lookups!C$10,IF(E39="S",D39*2,IF(AND(D39=0,G39&gt;0),G39,"ERROR"))))))))</f>
        <v>1300</v>
      </c>
      <c r="I39" s="22"/>
      <c r="J39" s="25"/>
      <c r="K39" s="13">
        <v>1000</v>
      </c>
      <c r="L39" s="26">
        <f>IF(I39="",0,IF(K39&gt;0,0,IF(J39="A",I39,IF(J39="M",I39*12,IF(J39="W",I39*Lookups!D$9,IF(J39="B",I39*+Lookups!D$10,IF(J39="S",I39*2,IF(AND(I39=0,K39&gt;0),K39,"ERROR"))))))))</f>
        <v>0</v>
      </c>
      <c r="M39" s="103" t="str">
        <f>IF(OR(AND(L39=0,D39=0),K39&gt;0),"",IF(AND(E39="W",J39="W"),ROUND(L39-(D39*Lookups!$C$9),0),ROUND(+L39-H39,0)))</f>
        <v/>
      </c>
      <c r="N39" s="84" t="str">
        <f t="shared" si="0"/>
        <v>E</v>
      </c>
      <c r="O39" s="97"/>
      <c r="Q39" s="62" t="s">
        <v>551</v>
      </c>
      <c r="R39" s="62" t="s">
        <v>344</v>
      </c>
      <c r="S39" s="63" t="s">
        <v>323</v>
      </c>
      <c r="T39" s="64">
        <v>53405</v>
      </c>
    </row>
    <row r="40" spans="1:20" x14ac:dyDescent="0.35">
      <c r="B40" s="27" t="s">
        <v>70</v>
      </c>
      <c r="C40" s="4" t="s">
        <v>71</v>
      </c>
      <c r="D40" s="22">
        <v>50</v>
      </c>
      <c r="E40" s="25" t="s">
        <v>39</v>
      </c>
      <c r="F40" s="25">
        <v>450</v>
      </c>
      <c r="G40" s="13"/>
      <c r="H40" s="26">
        <f>IF(D40="",0,IF(G40&gt;0,0,IF(E40="A",D40,IF(E40="M",D40*12,IF(E40="W",D40*Lookups!C$9,IF(E40="B",D40*+Lookups!C$10,IF(E40="S",D40*2,IF(AND(D40=0,G40&gt;0),G40,"ERROR"))))))))</f>
        <v>600</v>
      </c>
      <c r="I40" s="22"/>
      <c r="J40" s="25"/>
      <c r="K40" s="13">
        <v>400</v>
      </c>
      <c r="L40" s="26">
        <f>IF(I40="",0,IF(K40&gt;0,0,IF(J40="A",I40,IF(J40="M",I40*12,IF(J40="W",I40*Lookups!D$9,IF(J40="B",I40*+Lookups!D$10,IF(J40="S",I40*2,IF(AND(I40=0,K40&gt;0),K40,"ERROR"))))))))</f>
        <v>0</v>
      </c>
      <c r="M40" s="103" t="str">
        <f>IF(OR(AND(L40=0,D40=0),K40&gt;0),"",IF(AND(E40="W",J40="W"),ROUND(L40-(D40*Lookups!$C$9),0),ROUND(+L40-H40,0)))</f>
        <v/>
      </c>
      <c r="N40" s="84" t="str">
        <f t="shared" si="0"/>
        <v>E</v>
      </c>
      <c r="O40" s="97"/>
      <c r="P40" s="61" t="s">
        <v>455</v>
      </c>
      <c r="Q40" s="62" t="s">
        <v>456</v>
      </c>
      <c r="R40" s="62" t="s">
        <v>344</v>
      </c>
      <c r="S40" s="63" t="s">
        <v>323</v>
      </c>
      <c r="T40" s="64">
        <v>53404</v>
      </c>
    </row>
    <row r="41" spans="1:20" x14ac:dyDescent="0.35">
      <c r="B41" s="27" t="s">
        <v>351</v>
      </c>
      <c r="C41" s="4" t="s">
        <v>72</v>
      </c>
      <c r="D41" s="22"/>
      <c r="E41" s="25"/>
      <c r="F41" s="25">
        <v>1960</v>
      </c>
      <c r="G41" s="13">
        <v>3300</v>
      </c>
      <c r="H41" s="26">
        <f>IF(D41="",0,IF(G41&gt;0,0,IF(E41="A",D41,IF(E41="M",D41*12,IF(E41="W",D41*Lookups!C$9,IF(E41="B",D41*+Lookups!C$10,IF(E41="S",D41*2,IF(AND(D41=0,G41&gt;0),G41,"ERROR"))))))))</f>
        <v>0</v>
      </c>
      <c r="I41" s="22"/>
      <c r="J41" s="25"/>
      <c r="K41" s="13">
        <v>2000</v>
      </c>
      <c r="L41" s="26">
        <f>IF(I41="",0,IF(K41&gt;0,0,IF(J41="A",I41,IF(J41="M",I41*12,IF(J41="W",I41*Lookups!D$9,IF(J41="B",I41*+Lookups!D$10,IF(J41="S",I41*2,IF(AND(I41=0,K41&gt;0),K41,"ERROR"))))))))</f>
        <v>0</v>
      </c>
      <c r="M41" s="103" t="str">
        <f>IF(OR(AND(L41=0,D41=0),K41&gt;0),"",IF(AND(E41="W",J41="W"),ROUND(L41-(D41*Lookups!$C$9),0),ROUND(+L41-H41,0)))</f>
        <v/>
      </c>
      <c r="N41" s="84" t="str">
        <f t="shared" si="0"/>
        <v>E</v>
      </c>
      <c r="O41" s="97"/>
      <c r="Q41" s="62" t="s">
        <v>352</v>
      </c>
      <c r="R41" s="62" t="s">
        <v>322</v>
      </c>
      <c r="S41" s="63" t="s">
        <v>323</v>
      </c>
      <c r="T41" s="64">
        <v>53406</v>
      </c>
    </row>
    <row r="42" spans="1:20" x14ac:dyDescent="0.35">
      <c r="A42" s="106" t="s">
        <v>547</v>
      </c>
      <c r="B42" s="24" t="s">
        <v>73</v>
      </c>
      <c r="C42" s="4" t="s">
        <v>74</v>
      </c>
      <c r="D42" s="22">
        <v>125</v>
      </c>
      <c r="E42" s="25" t="s">
        <v>38</v>
      </c>
      <c r="F42" s="25"/>
      <c r="G42" s="13"/>
      <c r="H42" s="26">
        <f>IF(D42="",0,IF(G42&gt;0,0,IF(E42="A",D42,IF(E42="M",D42*12,IF(E42="W",D42*Lookups!C$9,IF(E42="B",D42*+Lookups!C$10,IF(E42="S",D42*2,IF(AND(D42=0,G42&gt;0),G42,"ERROR"))))))))</f>
        <v>6500</v>
      </c>
      <c r="I42" s="22"/>
      <c r="J42" s="25"/>
      <c r="K42" s="13"/>
      <c r="L42" s="26">
        <f>IF(I42="",0,IF(K42&gt;0,0,IF(J42="A",I42,IF(J42="M",I42*12,IF(J42="W",I42*Lookups!D$9,IF(J42="B",I42*+Lookups!D$10,IF(J42="S",I42*2,IF(AND(I42=0,K42&gt;0),K42,"ERROR"))))))))</f>
        <v>0</v>
      </c>
      <c r="M42" s="103">
        <f>IF(OR(AND(L42=0,D42=0),K42&gt;0),"",IF(AND(E42="W",J42="W"),ROUND(L42-(D42*Lookups!$C$9),0),ROUND(+L42-H42,0)))</f>
        <v>-6500</v>
      </c>
      <c r="N42" s="84" t="str">
        <f t="shared" si="0"/>
        <v>D</v>
      </c>
      <c r="O42" s="97"/>
      <c r="Q42" s="62" t="s">
        <v>552</v>
      </c>
      <c r="R42" s="62" t="s">
        <v>344</v>
      </c>
      <c r="S42" s="63" t="s">
        <v>323</v>
      </c>
      <c r="T42" s="64">
        <v>53405</v>
      </c>
    </row>
    <row r="43" spans="1:20" x14ac:dyDescent="0.35">
      <c r="B43" s="27" t="s">
        <v>75</v>
      </c>
      <c r="C43" s="4" t="s">
        <v>76</v>
      </c>
      <c r="D43" s="22">
        <v>20</v>
      </c>
      <c r="E43" s="25" t="s">
        <v>39</v>
      </c>
      <c r="F43" s="25">
        <v>200</v>
      </c>
      <c r="G43" s="13"/>
      <c r="H43" s="26">
        <f>IF(D43="",0,IF(G43&gt;0,0,IF(E43="A",D43,IF(E43="M",D43*12,IF(E43="W",D43*Lookups!C$9,IF(E43="B",D43*+Lookups!C$10,IF(E43="S",D43*2,IF(AND(D43=0,G43&gt;0),G43,"ERROR"))))))))</f>
        <v>240</v>
      </c>
      <c r="I43" s="22">
        <v>30</v>
      </c>
      <c r="J43" s="25" t="s">
        <v>39</v>
      </c>
      <c r="K43" s="13"/>
      <c r="L43" s="26">
        <f>IF(I43="",0,IF(K43&gt;0,0,IF(J43="A",I43,IF(J43="M",I43*12,IF(J43="W",I43*Lookups!D$9,IF(J43="B",I43*+Lookups!D$10,IF(J43="S",I43*2,IF(AND(I43=0,K43&gt;0),K43,"ERROR"))))))))</f>
        <v>360</v>
      </c>
      <c r="M43" s="103">
        <f>IF(OR(AND(L43=0,D43=0),K43&gt;0),"",IF(AND(E43="W",J43="W"),ROUND(L43-(D43*Lookups!$C$9),0),ROUND(+L43-H43,0)))</f>
        <v>120</v>
      </c>
      <c r="N43" s="84" t="str">
        <f t="shared" si="0"/>
        <v>I</v>
      </c>
      <c r="O43" s="97"/>
      <c r="Q43" s="62" t="s">
        <v>457</v>
      </c>
      <c r="R43" s="62" t="s">
        <v>344</v>
      </c>
      <c r="S43" s="63" t="s">
        <v>323</v>
      </c>
      <c r="T43" s="64">
        <v>53405</v>
      </c>
    </row>
    <row r="44" spans="1:20" x14ac:dyDescent="0.35">
      <c r="B44" s="27" t="s">
        <v>77</v>
      </c>
      <c r="C44" s="4" t="s">
        <v>78</v>
      </c>
      <c r="D44" s="22">
        <v>300</v>
      </c>
      <c r="E44" s="25" t="s">
        <v>39</v>
      </c>
      <c r="F44" s="25">
        <v>3000</v>
      </c>
      <c r="G44" s="13"/>
      <c r="H44" s="26">
        <f>IF(D44="",0,IF(G44&gt;0,0,IF(E44="A",D44,IF(E44="M",D44*12,IF(E44="W",D44*Lookups!C$9,IF(E44="B",D44*+Lookups!C$10,IF(E44="S",D44*2,IF(AND(D44=0,G44&gt;0),G44,"ERROR"))))))))</f>
        <v>3600</v>
      </c>
      <c r="I44" s="22">
        <v>300</v>
      </c>
      <c r="J44" s="25" t="s">
        <v>39</v>
      </c>
      <c r="K44" s="13"/>
      <c r="L44" s="26">
        <f>IF(I44="",0,IF(K44&gt;0,0,IF(J44="A",I44,IF(J44="M",I44*12,IF(J44="W",I44*Lookups!D$9,IF(J44="B",I44*+Lookups!D$10,IF(J44="S",I44*2,IF(AND(I44=0,K44&gt;0),K44,"ERROR"))))))))</f>
        <v>3600</v>
      </c>
      <c r="M44" s="103">
        <f>IF(OR(AND(L44=0,D44=0),K44&gt;0),"",IF(AND(E44="W",J44="W"),ROUND(L44-(D44*Lookups!$C$9),0),ROUND(+L44-H44,0)))</f>
        <v>0</v>
      </c>
      <c r="N44" s="84" t="str">
        <f t="shared" si="0"/>
        <v>S</v>
      </c>
      <c r="O44" s="97"/>
      <c r="P44" s="61" t="s">
        <v>353</v>
      </c>
      <c r="Q44" s="62" t="s">
        <v>354</v>
      </c>
      <c r="R44" s="62" t="s">
        <v>322</v>
      </c>
      <c r="S44" s="63" t="s">
        <v>323</v>
      </c>
      <c r="T44" s="64" t="s">
        <v>355</v>
      </c>
    </row>
    <row r="45" spans="1:20" x14ac:dyDescent="0.35">
      <c r="B45" s="27" t="s">
        <v>79</v>
      </c>
      <c r="C45" s="4" t="s">
        <v>80</v>
      </c>
      <c r="D45" s="22">
        <v>200</v>
      </c>
      <c r="E45" s="25" t="s">
        <v>39</v>
      </c>
      <c r="F45" s="25">
        <v>2000</v>
      </c>
      <c r="G45" s="13"/>
      <c r="H45" s="26">
        <f>IF(D45="",0,IF(G45&gt;0,0,IF(E45="A",D45,IF(E45="M",D45*12,IF(E45="W",D45*Lookups!C$9,IF(E45="B",D45*+Lookups!C$10,IF(E45="S",D45*2,IF(AND(D45=0,G45&gt;0),G45,"ERROR"))))))))</f>
        <v>2400</v>
      </c>
      <c r="I45" s="22">
        <v>225</v>
      </c>
      <c r="J45" s="25" t="s">
        <v>39</v>
      </c>
      <c r="K45" s="13"/>
      <c r="L45" s="26">
        <f>IF(I45="",0,IF(K45&gt;0,0,IF(J45="A",I45,IF(J45="M",I45*12,IF(J45="W",I45*Lookups!D$9,IF(J45="B",I45*+Lookups!D$10,IF(J45="S",I45*2,IF(AND(I45=0,K45&gt;0),K45,"ERROR"))))))))</f>
        <v>2700</v>
      </c>
      <c r="M45" s="103">
        <f>IF(OR(AND(L45=0,D45=0),K45&gt;0),"",IF(AND(E45="W",J45="W"),ROUND(L45-(D45*Lookups!$C$9),0),ROUND(+L45-H45,0)))</f>
        <v>300</v>
      </c>
      <c r="N45" s="84" t="str">
        <f t="shared" si="0"/>
        <v>I</v>
      </c>
      <c r="O45" s="97"/>
      <c r="Q45" s="62" t="s">
        <v>356</v>
      </c>
      <c r="R45" s="62" t="s">
        <v>344</v>
      </c>
      <c r="S45" s="63" t="s">
        <v>323</v>
      </c>
      <c r="T45" s="64" t="s">
        <v>357</v>
      </c>
    </row>
    <row r="46" spans="1:20" x14ac:dyDescent="0.35">
      <c r="B46" s="27" t="s">
        <v>79</v>
      </c>
      <c r="C46" s="4" t="s">
        <v>225</v>
      </c>
      <c r="D46" s="22"/>
      <c r="E46" s="25"/>
      <c r="F46" s="25">
        <v>300</v>
      </c>
      <c r="G46" s="13"/>
      <c r="H46" s="26">
        <f>IF(D46="",0,IF(G46&gt;0,0,IF(E46="A",D46,IF(E46="M",D46*12,IF(E46="W",D46*Lookups!C$9,IF(E46="B",D46*+Lookups!C$10,IF(E46="S",D46*2,IF(AND(D46=0,G46&gt;0),G46,"ERROR"))))))))</f>
        <v>0</v>
      </c>
      <c r="I46" s="22"/>
      <c r="J46" s="25"/>
      <c r="K46" s="13"/>
      <c r="L46" s="26">
        <f>IF(I46="",0,IF(K46&gt;0,0,IF(J46="A",I46,IF(J46="M",I46*12,IF(J46="W",I46*Lookups!D$9,IF(J46="B",I46*+Lookups!D$10,IF(J46="S",I46*2,IF(AND(I46=0,K46&gt;0),K46,"ERROR"))))))))</f>
        <v>0</v>
      </c>
      <c r="M46" s="103" t="str">
        <f>IF(OR(AND(L46=0,D46=0),K46&gt;0),"",IF(AND(E46="W",J46="W"),ROUND(L46-(D46*Lookups!$C$9),0),ROUND(+L46-H46,0)))</f>
        <v/>
      </c>
      <c r="N46" s="84" t="str">
        <f t="shared" si="0"/>
        <v/>
      </c>
      <c r="O46" s="97"/>
    </row>
    <row r="47" spans="1:20" x14ac:dyDescent="0.35">
      <c r="B47" s="24" t="s">
        <v>81</v>
      </c>
      <c r="C47" s="4" t="s">
        <v>82</v>
      </c>
      <c r="D47" s="22"/>
      <c r="E47" s="25"/>
      <c r="F47" s="25">
        <v>2200</v>
      </c>
      <c r="G47" s="13"/>
      <c r="H47" s="26">
        <f>IF(D47="",0,IF(G47&gt;0,0,IF(E47="A",D47,IF(E47="M",D47*12,IF(E47="W",D47*Lookups!C$9,IF(E47="B",D47*+Lookups!C$10,IF(E47="S",D47*2,IF(AND(D47=0,G47&gt;0),G47,"ERROR"))))))))</f>
        <v>0</v>
      </c>
      <c r="I47" s="22">
        <v>50</v>
      </c>
      <c r="J47" s="25" t="s">
        <v>38</v>
      </c>
      <c r="K47" s="13"/>
      <c r="L47" s="26">
        <f>IF(I47="",0,IF(K47&gt;0,0,IF(J47="A",I47,IF(J47="M",I47*12,IF(J47="W",I47*Lookups!D$9,IF(J47="B",I47*+Lookups!D$10,IF(J47="S",I47*2,IF(AND(I47=0,K47&gt;0),K47,"ERROR"))))))))</f>
        <v>2600</v>
      </c>
      <c r="M47" s="103">
        <f>IF(OR(AND(L47=0,D47=0),K47&gt;0),"",IF(AND(E47="W",J47="W"),ROUND(L47-(D47*Lookups!$C$9),0),ROUND(+L47-H47,0)))</f>
        <v>2600</v>
      </c>
      <c r="N47" s="84" t="str">
        <f t="shared" si="0"/>
        <v>N</v>
      </c>
      <c r="O47" s="97"/>
    </row>
    <row r="48" spans="1:20" x14ac:dyDescent="0.35">
      <c r="B48" s="27" t="s">
        <v>83</v>
      </c>
      <c r="C48" s="4" t="s">
        <v>84</v>
      </c>
      <c r="D48" s="22">
        <v>40</v>
      </c>
      <c r="E48" s="25" t="s">
        <v>38</v>
      </c>
      <c r="F48" s="25">
        <v>950</v>
      </c>
      <c r="G48" s="13"/>
      <c r="H48" s="26">
        <f>IF(D48="",0,IF(G48&gt;0,0,IF(E48="A",D48,IF(E48="M",D48*12,IF(E48="W",D48*Lookups!C$9,IF(E48="B",D48*+Lookups!C$10,IF(E48="S",D48*2,IF(AND(D48=0,G48&gt;0),G48,"ERROR"))))))))</f>
        <v>2080</v>
      </c>
      <c r="I48" s="22"/>
      <c r="J48" s="25"/>
      <c r="K48" s="13"/>
      <c r="L48" s="26">
        <f>IF(I48="",0,IF(K48&gt;0,0,IF(J48="A",I48,IF(J48="M",I48*12,IF(J48="W",I48*Lookups!D$9,IF(J48="B",I48*+Lookups!D$10,IF(J48="S",I48*2,IF(AND(I48=0,K48&gt;0),K48,"ERROR"))))))))</f>
        <v>0</v>
      </c>
      <c r="M48" s="103">
        <f>IF(OR(AND(L48=0,D48=0),K48&gt;0),"",IF(AND(E48="W",J48="W"),ROUND(L48-(D48*Lookups!$C$9),0),ROUND(+L48-H48,0)))</f>
        <v>-2080</v>
      </c>
      <c r="N48" s="84" t="str">
        <f t="shared" si="0"/>
        <v>D</v>
      </c>
      <c r="O48" s="97"/>
      <c r="Q48" s="62" t="s">
        <v>358</v>
      </c>
      <c r="R48" s="62" t="s">
        <v>322</v>
      </c>
      <c r="S48" s="63" t="s">
        <v>323</v>
      </c>
      <c r="T48" s="64">
        <v>53406</v>
      </c>
    </row>
    <row r="49" spans="2:20" x14ac:dyDescent="0.35">
      <c r="B49" s="27" t="s">
        <v>85</v>
      </c>
      <c r="C49" s="4" t="s">
        <v>433</v>
      </c>
      <c r="D49" s="22">
        <v>5000</v>
      </c>
      <c r="E49" s="25" t="s">
        <v>35</v>
      </c>
      <c r="F49" s="25">
        <v>5625</v>
      </c>
      <c r="G49" s="13"/>
      <c r="H49" s="26">
        <f>IF(D49="",0,IF(G49&gt;0,0,IF(E49="A",D49,IF(E49="M",D49*12,IF(E49="W",D49*Lookups!C$9,IF(E49="B",D49*+Lookups!C$10,IF(E49="S",D49*2,IF(AND(D49=0,G49&gt;0),G49,"ERROR"))))))))</f>
        <v>5000</v>
      </c>
      <c r="I49" s="22">
        <v>6000</v>
      </c>
      <c r="J49" s="25" t="s">
        <v>35</v>
      </c>
      <c r="K49" s="13"/>
      <c r="L49" s="26">
        <f>IF(I49="",0,IF(K49&gt;0,0,IF(J49="A",I49,IF(J49="M",I49*12,IF(J49="W",I49*Lookups!D$9,IF(J49="B",I49*+Lookups!D$10,IF(J49="S",I49*2,IF(AND(I49=0,K49&gt;0),K49,"ERROR"))))))))</f>
        <v>6000</v>
      </c>
      <c r="M49" s="103">
        <f>IF(OR(AND(L49=0,D49=0),K49&gt;0),"",IF(AND(E49="W",J49="W"),ROUND(L49-(D49*Lookups!$C$9),0),ROUND(+L49-H49,0)))</f>
        <v>1000</v>
      </c>
      <c r="N49" s="84" t="str">
        <f t="shared" si="0"/>
        <v>I</v>
      </c>
      <c r="O49" s="97"/>
      <c r="P49" s="61" t="s">
        <v>359</v>
      </c>
      <c r="Q49" s="62" t="s">
        <v>360</v>
      </c>
      <c r="R49" s="62" t="s">
        <v>344</v>
      </c>
      <c r="S49" s="63" t="s">
        <v>323</v>
      </c>
      <c r="T49" s="64">
        <v>53402</v>
      </c>
    </row>
    <row r="50" spans="2:20" x14ac:dyDescent="0.35">
      <c r="B50" s="27" t="s">
        <v>86</v>
      </c>
      <c r="C50" s="4" t="s">
        <v>87</v>
      </c>
      <c r="D50" s="22">
        <v>5</v>
      </c>
      <c r="E50" s="25" t="s">
        <v>38</v>
      </c>
      <c r="F50" s="25">
        <v>215</v>
      </c>
      <c r="G50" s="13"/>
      <c r="H50" s="26">
        <f>IF(D50="",0,IF(G50&gt;0,0,IF(E50="A",D50,IF(E50="M",D50*12,IF(E50="W",D50*Lookups!C$9,IF(E50="B",D50*+Lookups!C$10,IF(E50="S",D50*2,IF(AND(D50=0,G50&gt;0),G50,"ERROR"))))))))</f>
        <v>260</v>
      </c>
      <c r="I50" s="22">
        <v>5</v>
      </c>
      <c r="J50" s="25" t="s">
        <v>38</v>
      </c>
      <c r="K50" s="13"/>
      <c r="L50" s="26">
        <f>IF(I50="",0,IF(K50&gt;0,0,IF(J50="A",I50,IF(J50="M",I50*12,IF(J50="W",I50*Lookups!D$9,IF(J50="B",I50*+Lookups!D$10,IF(J50="S",I50*2,IF(AND(I50=0,K50&gt;0),K50,"ERROR"))))))))</f>
        <v>260</v>
      </c>
      <c r="M50" s="103">
        <f>IF(OR(AND(L50=0,D50=0),K50&gt;0),"",IF(AND(E50="W",J50="W"),ROUND(L50-(D50*Lookups!$C$9),0),ROUND(+L50-H50,0)))</f>
        <v>0</v>
      </c>
      <c r="N50" s="84" t="str">
        <f t="shared" si="0"/>
        <v>S</v>
      </c>
      <c r="O50" s="97"/>
      <c r="P50" s="61" t="s">
        <v>361</v>
      </c>
      <c r="Q50" s="62" t="s">
        <v>362</v>
      </c>
      <c r="R50" s="62" t="s">
        <v>344</v>
      </c>
      <c r="S50" s="63" t="s">
        <v>323</v>
      </c>
      <c r="T50" s="64">
        <v>53402</v>
      </c>
    </row>
    <row r="51" spans="2:20" x14ac:dyDescent="0.35">
      <c r="B51" s="27" t="s">
        <v>226</v>
      </c>
      <c r="C51" s="4" t="s">
        <v>227</v>
      </c>
      <c r="D51" s="22"/>
      <c r="E51" s="25"/>
      <c r="F51" s="25">
        <v>85</v>
      </c>
      <c r="G51" s="13"/>
      <c r="H51" s="26">
        <f>IF(D51="",0,IF(G51&gt;0,0,IF(E51="A",D51,IF(E51="M",D51*12,IF(E51="W",D51*Lookups!C$9,IF(E51="B",D51*+Lookups!C$10,IF(E51="S",D51*2,IF(AND(D51=0,G51&gt;0),G51,"ERROR"))))))))</f>
        <v>0</v>
      </c>
      <c r="I51" s="22"/>
      <c r="J51" s="25"/>
      <c r="K51" s="13"/>
      <c r="L51" s="26">
        <f>IF(I51="",0,IF(K51&gt;0,0,IF(J51="A",I51,IF(J51="M",I51*12,IF(J51="W",I51*Lookups!D$9,IF(J51="B",I51*+Lookups!D$10,IF(J51="S",I51*2,IF(AND(I51=0,K51&gt;0),K51,"ERROR"))))))))</f>
        <v>0</v>
      </c>
      <c r="M51" s="103" t="str">
        <f>IF(OR(AND(L51=0,D51=0),K51&gt;0),"",IF(AND(E51="W",J51="W"),ROUND(L51-(D51*Lookups!$C$9),0),ROUND(+L51-H51,0)))</f>
        <v/>
      </c>
      <c r="N51" s="84" t="str">
        <f t="shared" si="0"/>
        <v/>
      </c>
      <c r="O51" s="97"/>
    </row>
    <row r="52" spans="2:20" x14ac:dyDescent="0.35">
      <c r="B52" s="24" t="s">
        <v>88</v>
      </c>
      <c r="C52" s="4" t="s">
        <v>294</v>
      </c>
      <c r="D52" s="22">
        <v>300</v>
      </c>
      <c r="E52" s="25" t="s">
        <v>39</v>
      </c>
      <c r="F52" s="25">
        <v>1800</v>
      </c>
      <c r="G52" s="13"/>
      <c r="H52" s="26">
        <f>IF(D52="",0,IF(G52&gt;0,0,IF(E52="A",D52,IF(E52="M",D52*12,IF(E52="W",D52*Lookups!C$9,IF(E52="B",D52*+Lookups!C$10,IF(E52="S",D52*2,IF(AND(D52=0,G52&gt;0),G52,"ERROR"))))))))</f>
        <v>3600</v>
      </c>
      <c r="I52" s="22">
        <v>200</v>
      </c>
      <c r="J52" s="25" t="s">
        <v>39</v>
      </c>
      <c r="K52" s="13"/>
      <c r="L52" s="26">
        <f>IF(I52="",0,IF(K52&gt;0,0,IF(J52="A",I52,IF(J52="M",I52*12,IF(J52="W",I52*Lookups!D$9,IF(J52="B",I52*+Lookups!D$10,IF(J52="S",I52*2,IF(AND(I52=0,K52&gt;0),K52,"ERROR"))))))))</f>
        <v>2400</v>
      </c>
      <c r="M52" s="103">
        <f>IF(OR(AND(L52=0,D52=0),K52&gt;0),"",IF(AND(E52="W",J52="W"),ROUND(L52-(D52*Lookups!$C$9),0),ROUND(+L52-H52,0)))</f>
        <v>-1200</v>
      </c>
      <c r="N52" s="84" t="str">
        <f t="shared" si="0"/>
        <v>D</v>
      </c>
      <c r="O52" s="97"/>
    </row>
    <row r="53" spans="2:20" x14ac:dyDescent="0.35">
      <c r="B53" s="27" t="s">
        <v>228</v>
      </c>
      <c r="C53" s="4" t="s">
        <v>229</v>
      </c>
      <c r="D53" s="22"/>
      <c r="E53" s="25"/>
      <c r="F53" s="25">
        <v>250</v>
      </c>
      <c r="G53" s="13">
        <f>25*12</f>
        <v>300</v>
      </c>
      <c r="H53" s="26">
        <f>IF(D53="",0,IF(G53&gt;0,0,IF(E53="A",D53,IF(E53="M",D53*12,IF(E53="W",D53*Lookups!C$9,IF(E53="B",D53*+Lookups!C$10,IF(E53="S",D53*2,IF(AND(D53=0,G53&gt;0),G53,"ERROR"))))))))</f>
        <v>0</v>
      </c>
      <c r="I53" s="22"/>
      <c r="J53" s="25"/>
      <c r="K53" s="13">
        <v>300</v>
      </c>
      <c r="L53" s="26">
        <f>IF(I53="",0,IF(K53&gt;0,0,IF(J53="A",I53,IF(J53="M",I53*12,IF(J53="W",I53*Lookups!D$9,IF(J53="B",I53*+Lookups!D$10,IF(J53="S",I53*2,IF(AND(I53=0,K53&gt;0),K53,"ERROR"))))))))</f>
        <v>0</v>
      </c>
      <c r="M53" s="103" t="str">
        <f>IF(OR(AND(L53=0,D53=0),K53&gt;0),"",IF(AND(E53="W",J53="W"),ROUND(L53-(D53*Lookups!$C$9),0),ROUND(+L53-H53,0)))</f>
        <v/>
      </c>
      <c r="N53" s="84" t="str">
        <f t="shared" si="0"/>
        <v>E</v>
      </c>
      <c r="O53" s="97"/>
    </row>
    <row r="54" spans="2:20" ht="14" customHeight="1" x14ac:dyDescent="0.35">
      <c r="B54" s="27" t="s">
        <v>533</v>
      </c>
      <c r="C54" s="4" t="s">
        <v>534</v>
      </c>
      <c r="D54" s="22"/>
      <c r="E54" s="25"/>
      <c r="F54" s="25">
        <v>350</v>
      </c>
      <c r="G54" s="13"/>
      <c r="H54" s="26">
        <f>IF(D54="",0,IF(G54&gt;0,0,IF(E54="A",D54,IF(E54="M",D54*12,IF(E54="W",D54*Lookups!C$9,IF(E54="B",D54*+Lookups!C$10,IF(E54="S",D54*2,IF(AND(D54=0,G54&gt;0),G54,"ERROR"))))))))</f>
        <v>0</v>
      </c>
      <c r="I54" s="22"/>
      <c r="J54" s="25"/>
      <c r="K54" s="13">
        <v>300</v>
      </c>
      <c r="L54" s="26">
        <f>IF(I54="",0,IF(K54&gt;0,0,IF(J54="A",I54,IF(J54="M",I54*12,IF(J54="W",I54*Lookups!D$9,IF(J54="B",I54*+Lookups!D$10,IF(J54="S",I54*2,IF(AND(I54=0,K54&gt;0),K54,"ERROR"))))))))</f>
        <v>0</v>
      </c>
      <c r="M54" s="103" t="str">
        <f>IF(OR(AND(L54=0,D54=0),K54&gt;0),"",IF(AND(E54="W",J54="W"),ROUND(L54-(D54*Lookups!$C$9),0),ROUND(+L54-H54,0)))</f>
        <v/>
      </c>
      <c r="N54" s="84" t="str">
        <f t="shared" si="0"/>
        <v>E</v>
      </c>
      <c r="O54" s="97"/>
    </row>
    <row r="55" spans="2:20" x14ac:dyDescent="0.35">
      <c r="B55" s="27" t="s">
        <v>299</v>
      </c>
      <c r="C55" s="4" t="s">
        <v>300</v>
      </c>
      <c r="D55" s="22">
        <v>1000</v>
      </c>
      <c r="E55" s="25" t="s">
        <v>35</v>
      </c>
      <c r="F55" s="25">
        <v>420</v>
      </c>
      <c r="G55" s="13"/>
      <c r="H55" s="26">
        <f>IF(D55="",0,IF(G55&gt;0,0,IF(E55="A",D55,IF(E55="M",D55*12,IF(E55="W",D55*Lookups!C$9,IF(E55="B",D55*+Lookups!C$10,IF(E55="S",D55*2,IF(AND(D55=0,G55&gt;0),G55,"ERROR"))))))))</f>
        <v>1000</v>
      </c>
      <c r="I55" s="22"/>
      <c r="J55" s="25"/>
      <c r="K55" s="13"/>
      <c r="L55" s="26">
        <f>IF(I55="",0,IF(K55&gt;0,0,IF(J55="A",I55,IF(J55="M",I55*12,IF(J55="W",I55*Lookups!D$9,IF(J55="B",I55*+Lookups!D$10,IF(J55="S",I55*2,IF(AND(I55=0,K55&gt;0),K55,"ERROR"))))))))</f>
        <v>0</v>
      </c>
      <c r="M55" s="103">
        <f>IF(OR(AND(L55=0,D55=0),K55&gt;0),"",IF(AND(E55="W",J55="W"),ROUND(L55-(D55*Lookups!$C$9),0),ROUND(+L55-H55,0)))</f>
        <v>-1000</v>
      </c>
      <c r="N55" s="84" t="str">
        <f t="shared" si="0"/>
        <v>D</v>
      </c>
      <c r="O55" s="97"/>
    </row>
    <row r="56" spans="2:20" x14ac:dyDescent="0.35">
      <c r="B56" s="27" t="s">
        <v>89</v>
      </c>
      <c r="C56" s="4" t="s">
        <v>90</v>
      </c>
      <c r="D56" s="22">
        <v>600</v>
      </c>
      <c r="E56" s="25" t="s">
        <v>39</v>
      </c>
      <c r="F56" s="25">
        <v>7500</v>
      </c>
      <c r="G56" s="13"/>
      <c r="H56" s="26">
        <f>IF(D56="",0,IF(G56&gt;0,0,IF(E56="A",D56,IF(E56="M",D56*12,IF(E56="W",D56*Lookups!C$9,IF(E56="B",D56*+Lookups!C$10,IF(E56="S",D56*2,IF(AND(D56=0,G56&gt;0),G56,"ERROR"))))))))</f>
        <v>7200</v>
      </c>
      <c r="I56" s="22">
        <v>850</v>
      </c>
      <c r="J56" s="25" t="s">
        <v>39</v>
      </c>
      <c r="K56" s="13"/>
      <c r="L56" s="26">
        <f>IF(I56="",0,IF(K56&gt;0,0,IF(J56="A",I56,IF(J56="M",I56*12,IF(J56="W",I56*Lookups!D$9,IF(J56="B",I56*+Lookups!D$10,IF(J56="S",I56*2,IF(AND(I56=0,K56&gt;0),K56,"ERROR"))))))))</f>
        <v>10200</v>
      </c>
      <c r="M56" s="103">
        <f>IF(OR(AND(L56=0,D56=0),K56&gt;0),"",IF(AND(E56="W",J56="W"),ROUND(L56-(D56*Lookups!$C$9),0),ROUND(+L56-H56,0)))</f>
        <v>3000</v>
      </c>
      <c r="N56" s="84" t="str">
        <f t="shared" si="0"/>
        <v>I</v>
      </c>
      <c r="O56" s="97"/>
      <c r="P56" s="61" t="s">
        <v>459</v>
      </c>
      <c r="Q56" s="62" t="s">
        <v>460</v>
      </c>
      <c r="R56" s="62" t="s">
        <v>344</v>
      </c>
      <c r="S56" s="63" t="s">
        <v>323</v>
      </c>
      <c r="T56" s="64">
        <v>53406</v>
      </c>
    </row>
    <row r="57" spans="2:20" x14ac:dyDescent="0.35">
      <c r="B57" s="24" t="s">
        <v>91</v>
      </c>
      <c r="C57" s="4" t="s">
        <v>92</v>
      </c>
      <c r="D57" s="22"/>
      <c r="E57" s="25"/>
      <c r="F57" s="25">
        <v>1100</v>
      </c>
      <c r="G57" s="13">
        <f>+(108.333333333333)*12</f>
        <v>1299.9999999999959</v>
      </c>
      <c r="H57" s="26">
        <f>IF(D57="",0,IF(G57&gt;0,0,IF(E57="A",D57,IF(E57="M",D57*12,IF(E57="W",D57*Lookups!C$9,IF(E57="B",D57*+Lookups!C$10,IF(E57="S",D57*2,IF(AND(D57=0,G57&gt;0),G57,"ERROR"))))))))</f>
        <v>0</v>
      </c>
      <c r="I57" s="22"/>
      <c r="J57" s="25"/>
      <c r="K57" s="13">
        <v>1000</v>
      </c>
      <c r="L57" s="26">
        <f>IF(I57="",0,IF(K57&gt;0,0,IF(J57="A",I57,IF(J57="M",I57*12,IF(J57="W",I57*Lookups!D$9,IF(J57="B",I57*+Lookups!D$10,IF(J57="S",I57*2,IF(AND(I57=0,K57&gt;0),K57,"ERROR"))))))))</f>
        <v>0</v>
      </c>
      <c r="M57" s="103" t="str">
        <f>IF(OR(AND(L57=0,D57=0),K57&gt;0),"",IF(AND(E57="W",J57="W"),ROUND(L57-(D57*Lookups!$C$9),0),ROUND(+L57-H57,0)))</f>
        <v/>
      </c>
      <c r="N57" s="84" t="str">
        <f t="shared" ref="N57:N119" si="1">IF(K57&gt;0,"E",IF(M57="","",IF(M57=0,"S",IF(AND(M57&gt;0,NOT(D57=0)),"I",IF(AND(M57&gt;0,D57=0),"N",IF(M57&lt;0,"D","ERROR"))))))</f>
        <v>E</v>
      </c>
      <c r="O57" s="97"/>
      <c r="P57" s="61" t="s">
        <v>363</v>
      </c>
      <c r="Q57" s="62" t="s">
        <v>364</v>
      </c>
      <c r="R57" s="62" t="s">
        <v>344</v>
      </c>
      <c r="S57" s="63" t="s">
        <v>323</v>
      </c>
      <c r="T57" s="64">
        <v>53403</v>
      </c>
    </row>
    <row r="58" spans="2:20" x14ac:dyDescent="0.35">
      <c r="B58" s="24" t="s">
        <v>536</v>
      </c>
      <c r="C58" s="4" t="s">
        <v>537</v>
      </c>
      <c r="D58" s="22"/>
      <c r="E58" s="25"/>
      <c r="F58" s="25">
        <v>820</v>
      </c>
      <c r="G58" s="13">
        <v>600</v>
      </c>
      <c r="H58" s="26">
        <f>IF(D58="",0,IF(G58&gt;0,0,IF(E58="A",D58,IF(E58="M",D58*12,IF(E58="W",D58*Lookups!C$9,IF(E58="B",D58*+Lookups!C$10,IF(E58="S",D58*2,IF(AND(D58=0,G58&gt;0),G58,"ERROR"))))))))</f>
        <v>0</v>
      </c>
      <c r="I58" s="22"/>
      <c r="J58" s="25"/>
      <c r="K58" s="13">
        <v>800</v>
      </c>
      <c r="L58" s="26">
        <f>IF(I58="",0,IF(K58&gt;0,0,IF(J58="A",I58,IF(J58="M",I58*12,IF(J58="W",I58*Lookups!D$9,IF(J58="B",I58*+Lookups!D$10,IF(J58="S",I58*2,IF(AND(I58=0,K58&gt;0),K58,"ERROR"))))))))</f>
        <v>0</v>
      </c>
      <c r="M58" s="103" t="str">
        <f>IF(OR(AND(L58=0,D58=0),K58&gt;0),"",IF(AND(E58="W",J58="W"),ROUND(L58-(D58*Lookups!$C$9),0),ROUND(+L58-H58,0)))</f>
        <v/>
      </c>
      <c r="N58" s="84" t="str">
        <f t="shared" si="1"/>
        <v>E</v>
      </c>
      <c r="O58" s="97"/>
      <c r="P58" s="61" t="s">
        <v>363</v>
      </c>
      <c r="Q58" s="62" t="s">
        <v>535</v>
      </c>
      <c r="R58" s="62" t="s">
        <v>344</v>
      </c>
      <c r="S58" s="63" t="s">
        <v>323</v>
      </c>
      <c r="T58" s="64">
        <v>53404</v>
      </c>
    </row>
    <row r="59" spans="2:20" x14ac:dyDescent="0.35">
      <c r="B59" s="24" t="s">
        <v>605</v>
      </c>
      <c r="C59" s="4" t="s">
        <v>604</v>
      </c>
      <c r="D59" s="22"/>
      <c r="E59" s="25"/>
      <c r="F59" s="25">
        <v>76</v>
      </c>
      <c r="G59" s="13"/>
      <c r="H59" s="26">
        <f>IF(D59="",0,IF(G59&gt;0,0,IF(E59="A",D59,IF(E59="M",D59*12,IF(E59="W",D59*Lookups!C$9,IF(E59="B",D59*+Lookups!C$10,IF(E59="S",D59*2,IF(AND(D59=0,G59&gt;0),G59,"ERROR"))))))))</f>
        <v>0</v>
      </c>
      <c r="I59" s="22"/>
      <c r="J59" s="25"/>
      <c r="K59" s="13"/>
      <c r="L59" s="26">
        <f>IF(I59="",0,IF(K59&gt;0,0,IF(J59="A",I59,IF(J59="M",I59*12,IF(J59="W",I59*Lookups!D$9,IF(J59="B",I59*+Lookups!D$10,IF(J59="S",I59*2,IF(AND(I59=0,K59&gt;0),K59,"ERROR"))))))))</f>
        <v>0</v>
      </c>
      <c r="M59" s="103" t="str">
        <f>IF(OR(AND(L59=0,D59=0),K59&gt;0),"",IF(AND(E59="W",J59="W"),ROUND(L59-(D59*Lookups!$C$9),0),ROUND(+L59-H59,0)))</f>
        <v/>
      </c>
      <c r="N59" s="84" t="str">
        <f t="shared" ref="N59" si="2">IF(K59&gt;0,"E",IF(M59="","",IF(M59=0,"S",IF(AND(M59&gt;0,NOT(D59=0)),"I",IF(AND(M59&gt;0,D59=0),"N",IF(M59&lt;0,"D","ERROR"))))))</f>
        <v/>
      </c>
      <c r="O59" s="97"/>
      <c r="P59" s="61"/>
    </row>
    <row r="60" spans="2:20" ht="29" x14ac:dyDescent="0.35">
      <c r="B60" s="27" t="s">
        <v>93</v>
      </c>
      <c r="C60" s="4" t="s">
        <v>94</v>
      </c>
      <c r="D60" s="22">
        <v>250</v>
      </c>
      <c r="E60" s="25" t="s">
        <v>39</v>
      </c>
      <c r="F60" s="25">
        <v>2500</v>
      </c>
      <c r="G60" s="13"/>
      <c r="H60" s="26">
        <f>IF(D60="",0,IF(G60&gt;0,0,IF(E60="A",D60,IF(E60="M",D60*12,IF(E60="W",D60*Lookups!C$9,IF(E60="B",D60*+Lookups!C$10,IF(E60="S",D60*2,IF(AND(D60=0,G60&gt;0),G60,"ERROR"))))))))</f>
        <v>3000</v>
      </c>
      <c r="I60" s="22">
        <v>250</v>
      </c>
      <c r="J60" s="25" t="s">
        <v>39</v>
      </c>
      <c r="K60" s="13"/>
      <c r="L60" s="26">
        <f>IF(I60="",0,IF(K60&gt;0,0,IF(J60="A",I60,IF(J60="M",I60*12,IF(J60="W",I60*Lookups!D$9,IF(J60="B",I60*+Lookups!D$10,IF(J60="S",I60*2,IF(AND(I60=0,K60&gt;0),K60,"ERROR"))))))))</f>
        <v>3000</v>
      </c>
      <c r="M60" s="103">
        <f>IF(OR(AND(L60=0,D60=0),K60&gt;0),"",IF(AND(E60="W",J60="W"),ROUND(L60-(D60*Lookups!$C$9),0),ROUND(+L60-H60,0)))</f>
        <v>0</v>
      </c>
      <c r="N60" s="84" t="str">
        <f t="shared" si="1"/>
        <v>S</v>
      </c>
      <c r="O60" s="97"/>
      <c r="P60" s="94" t="s">
        <v>461</v>
      </c>
      <c r="Q60" s="62" t="s">
        <v>367</v>
      </c>
      <c r="R60" s="62" t="s">
        <v>322</v>
      </c>
      <c r="S60" s="63" t="s">
        <v>323</v>
      </c>
      <c r="T60" s="64">
        <v>53406</v>
      </c>
    </row>
    <row r="61" spans="2:20" x14ac:dyDescent="0.35">
      <c r="B61" s="27" t="s">
        <v>95</v>
      </c>
      <c r="C61" s="4" t="s">
        <v>368</v>
      </c>
      <c r="D61" s="22">
        <v>2000</v>
      </c>
      <c r="E61" s="25" t="s">
        <v>35</v>
      </c>
      <c r="F61" s="25">
        <v>2000</v>
      </c>
      <c r="G61" s="13"/>
      <c r="H61" s="26">
        <f>IF(D61="",0,IF(G61&gt;0,0,IF(E61="A",D61,IF(E61="M",D61*12,IF(E61="W",D61*Lookups!C$9,IF(E61="B",D61*+Lookups!C$10,IF(E61="S",D61*2,IF(AND(D61=0,G61&gt;0),G61,"ERROR"))))))))</f>
        <v>2000</v>
      </c>
      <c r="I61" s="22">
        <v>2000</v>
      </c>
      <c r="J61" s="25" t="s">
        <v>35</v>
      </c>
      <c r="K61" s="13"/>
      <c r="L61" s="26">
        <f>IF(I61="",0,IF(K61&gt;0,0,IF(J61="A",I61,IF(J61="M",I61*12,IF(J61="W",I61*Lookups!D$9,IF(J61="B",I61*+Lookups!D$10,IF(J61="S",I61*2,IF(AND(I61=0,K61&gt;0),K61,"ERROR"))))))))</f>
        <v>2000</v>
      </c>
      <c r="M61" s="103">
        <f>IF(OR(AND(L61=0,D61=0),K61&gt;0),"",IF(AND(E61="W",J61="W"),ROUND(L61-(D61*Lookups!$C$9),0),ROUND(+L61-H61,0)))</f>
        <v>0</v>
      </c>
      <c r="N61" s="84" t="str">
        <f t="shared" si="1"/>
        <v>S</v>
      </c>
      <c r="O61" s="100" t="s">
        <v>470</v>
      </c>
      <c r="P61" s="61" t="s">
        <v>369</v>
      </c>
      <c r="Q61" s="62" t="s">
        <v>370</v>
      </c>
      <c r="R61" s="62" t="s">
        <v>322</v>
      </c>
      <c r="S61" s="63" t="s">
        <v>323</v>
      </c>
      <c r="T61" s="64">
        <v>53406</v>
      </c>
    </row>
    <row r="62" spans="2:20" x14ac:dyDescent="0.35">
      <c r="B62" s="27" t="s">
        <v>97</v>
      </c>
      <c r="C62" s="4" t="s">
        <v>98</v>
      </c>
      <c r="D62" s="22">
        <v>16</v>
      </c>
      <c r="E62" s="25" t="s">
        <v>38</v>
      </c>
      <c r="F62" s="25">
        <v>693</v>
      </c>
      <c r="G62" s="13"/>
      <c r="H62" s="26">
        <f>IF(D62="",0,IF(G62&gt;0,0,IF(E62="A",D62,IF(E62="M",D62*12,IF(E62="W",D62*Lookups!C$9,IF(E62="B",D62*+Lookups!C$10,IF(E62="S",D62*2,IF(AND(D62=0,G62&gt;0),G62,"ERROR"))))))))</f>
        <v>832</v>
      </c>
      <c r="I62" s="22">
        <v>18</v>
      </c>
      <c r="J62" s="25" t="s">
        <v>38</v>
      </c>
      <c r="K62" s="13"/>
      <c r="L62" s="26">
        <f>IF(I62="",0,IF(K62&gt;0,0,IF(J62="A",I62,IF(J62="M",I62*12,IF(J62="W",I62*Lookups!D$9,IF(J62="B",I62*+Lookups!D$10,IF(J62="S",I62*2,IF(AND(I62=0,K62&gt;0),K62,"ERROR"))))))))</f>
        <v>936</v>
      </c>
      <c r="M62" s="103">
        <f>IF(OR(AND(L62=0,D62=0),K62&gt;0),"",IF(AND(E62="W",J62="W"),ROUND(L62-(D62*Lookups!$C$9),0),ROUND(+L62-H62,0)))</f>
        <v>104</v>
      </c>
      <c r="N62" s="84" t="str">
        <f t="shared" si="1"/>
        <v>I</v>
      </c>
      <c r="O62" s="97"/>
      <c r="P62" s="61" t="s">
        <v>462</v>
      </c>
      <c r="Q62" s="62" t="s">
        <v>463</v>
      </c>
      <c r="R62" s="62" t="s">
        <v>344</v>
      </c>
      <c r="S62" s="63" t="s">
        <v>323</v>
      </c>
      <c r="T62" s="64">
        <v>53406</v>
      </c>
    </row>
    <row r="63" spans="2:20" x14ac:dyDescent="0.35">
      <c r="B63" s="27" t="s">
        <v>99</v>
      </c>
      <c r="C63" s="4" t="s">
        <v>100</v>
      </c>
      <c r="D63" s="22">
        <v>90</v>
      </c>
      <c r="E63" s="25" t="s">
        <v>38</v>
      </c>
      <c r="F63" s="25">
        <v>3690</v>
      </c>
      <c r="G63" s="13"/>
      <c r="H63" s="26">
        <f>IF(D63="",0,IF(G63&gt;0,0,IF(E63="A",D63,IF(E63="M",D63*12,IF(E63="W",D63*Lookups!C$9,IF(E63="B",D63*+Lookups!C$10,IF(E63="S",D63*2,IF(AND(D63=0,G63&gt;0),G63,"ERROR"))))))))</f>
        <v>4680</v>
      </c>
      <c r="I63" s="22">
        <v>95</v>
      </c>
      <c r="J63" s="25" t="s">
        <v>38</v>
      </c>
      <c r="K63" s="13"/>
      <c r="L63" s="26">
        <f>IF(I63="",0,IF(K63&gt;0,0,IF(J63="A",I63,IF(J63="M",I63*12,IF(J63="W",I63*Lookups!D$9,IF(J63="B",I63*+Lookups!D$10,IF(J63="S",I63*2,IF(AND(I63=0,K63&gt;0),K63,"ERROR"))))))))</f>
        <v>4940</v>
      </c>
      <c r="M63" s="103">
        <f>IF(OR(AND(L63=0,D63=0),K63&gt;0),"",IF(AND(E63="W",J63="W"),ROUND(L63-(D63*Lookups!$C$9),0),ROUND(+L63-H63,0)))</f>
        <v>260</v>
      </c>
      <c r="N63" s="84" t="str">
        <f t="shared" si="1"/>
        <v>I</v>
      </c>
      <c r="O63" s="100" t="s">
        <v>468</v>
      </c>
      <c r="Q63" s="62" t="s">
        <v>464</v>
      </c>
      <c r="R63" s="62" t="s">
        <v>344</v>
      </c>
      <c r="S63" s="63" t="s">
        <v>323</v>
      </c>
      <c r="T63" s="64">
        <v>53404</v>
      </c>
    </row>
    <row r="64" spans="2:20" x14ac:dyDescent="0.35">
      <c r="B64" s="27" t="s">
        <v>538</v>
      </c>
      <c r="C64" s="4" t="s">
        <v>272</v>
      </c>
      <c r="D64" s="22"/>
      <c r="E64" s="25"/>
      <c r="F64" s="25">
        <v>375</v>
      </c>
      <c r="G64" s="13">
        <v>500</v>
      </c>
      <c r="H64" s="26">
        <f>IF(D64="",0,IF(G64&gt;0,0,IF(E64="A",D64,IF(E64="M",D64*12,IF(E64="W",D64*Lookups!C$9,IF(E64="B",D64*+Lookups!C$10,IF(E64="S",D64*2,IF(AND(D64=0,G64&gt;0),G64,"ERROR"))))))))</f>
        <v>0</v>
      </c>
      <c r="I64" s="22"/>
      <c r="J64" s="25"/>
      <c r="K64" s="13">
        <v>300</v>
      </c>
      <c r="L64" s="26">
        <f>IF(I64="",0,IF(K64&gt;0,0,IF(J64="A",I64,IF(J64="M",I64*12,IF(J64="W",I64*Lookups!D$9,IF(J64="B",I64*+Lookups!D$10,IF(J64="S",I64*2,IF(AND(I64=0,K64&gt;0),K64,"ERROR"))))))))</f>
        <v>0</v>
      </c>
      <c r="M64" s="103" t="str">
        <f>IF(OR(AND(L64=0,D64=0),K64&gt;0),"",IF(AND(E64="W",J64="W"),ROUND(L64-(D64*Lookups!$C$9),0),ROUND(+L64-H64,0)))</f>
        <v/>
      </c>
      <c r="N64" s="84" t="str">
        <f t="shared" si="1"/>
        <v>E</v>
      </c>
      <c r="O64" s="100"/>
    </row>
    <row r="65" spans="1:20" x14ac:dyDescent="0.35">
      <c r="B65" s="27" t="s">
        <v>101</v>
      </c>
      <c r="C65" s="4" t="s">
        <v>57</v>
      </c>
      <c r="D65" s="22"/>
      <c r="E65" s="25"/>
      <c r="F65" s="25">
        <v>420</v>
      </c>
      <c r="G65" s="13">
        <v>400</v>
      </c>
      <c r="H65" s="26">
        <f>IF(D65="",0,IF(G65&gt;0,0,IF(E65="A",D65,IF(E65="M",D65*12,IF(E65="W",D65*Lookups!C$9,IF(E65="B",D65*+Lookups!C$10,IF(E65="S",D65*2,IF(AND(D65=0,G65&gt;0),G65,"ERROR"))))))))</f>
        <v>0</v>
      </c>
      <c r="I65" s="22"/>
      <c r="J65" s="25"/>
      <c r="K65" s="13">
        <v>400</v>
      </c>
      <c r="L65" s="26">
        <f>IF(I65="",0,IF(K65&gt;0,0,IF(J65="A",I65,IF(J65="M",I65*12,IF(J65="W",I65*Lookups!D$9,IF(J65="B",I65*+Lookups!D$10,IF(J65="S",I65*2,IF(AND(I65=0,K65&gt;0),K65,"ERROR"))))))))</f>
        <v>0</v>
      </c>
      <c r="M65" s="103" t="str">
        <f>IF(OR(AND(L65=0,D65=0),K65&gt;0),"",IF(AND(E65="W",J65="W"),ROUND(L65-(D65*Lookups!$C$9),0),ROUND(+L65-H65,0)))</f>
        <v/>
      </c>
      <c r="N65" s="84" t="str">
        <f t="shared" si="1"/>
        <v>E</v>
      </c>
      <c r="O65" s="97"/>
    </row>
    <row r="66" spans="1:20" ht="29" x14ac:dyDescent="0.35">
      <c r="B66" s="27" t="s">
        <v>434</v>
      </c>
      <c r="C66" s="4" t="s">
        <v>435</v>
      </c>
      <c r="D66" s="22">
        <v>2500</v>
      </c>
      <c r="E66" s="25" t="s">
        <v>35</v>
      </c>
      <c r="F66" s="25">
        <v>1800</v>
      </c>
      <c r="G66" s="13"/>
      <c r="H66" s="26">
        <f>IF(D66="",0,IF(G66&gt;0,0,IF(E66="A",D66,IF(E66="M",D66*12,IF(E66="W",D66*Lookups!C$9,IF(E66="B",D66*+Lookups!C$10,IF(E66="S",D66*2,IF(AND(D66=0,G66&gt;0),G66,"ERROR"))))))))</f>
        <v>2500</v>
      </c>
      <c r="I66" s="22">
        <v>3000</v>
      </c>
      <c r="J66" s="25" t="s">
        <v>35</v>
      </c>
      <c r="K66" s="13"/>
      <c r="L66" s="26">
        <f>IF(I66="",0,IF(K66&gt;0,0,IF(J66="A",I66,IF(J66="M",I66*12,IF(J66="W",I66*Lookups!D$9,IF(J66="B",I66*+Lookups!D$10,IF(J66="S",I66*2,IF(AND(I66=0,K66&gt;0),K66,"ERROR"))))))))</f>
        <v>3000</v>
      </c>
      <c r="M66" s="103">
        <f>IF(OR(AND(L66=0,D66=0),K66&gt;0),"",IF(AND(E66="W",J66="W"),ROUND(L66-(D66*Lookups!$C$9),0),ROUND(+L66-H66,0)))</f>
        <v>500</v>
      </c>
      <c r="N66" s="84" t="str">
        <f t="shared" si="1"/>
        <v>I</v>
      </c>
      <c r="O66" s="97"/>
      <c r="P66" s="95" t="s">
        <v>465</v>
      </c>
      <c r="Q66" s="62" t="s">
        <v>466</v>
      </c>
      <c r="R66" s="62" t="s">
        <v>344</v>
      </c>
      <c r="S66" s="63" t="s">
        <v>323</v>
      </c>
      <c r="T66" s="64">
        <v>53405</v>
      </c>
    </row>
    <row r="67" spans="1:20" x14ac:dyDescent="0.35">
      <c r="B67" s="27" t="s">
        <v>434</v>
      </c>
      <c r="C67" s="4" t="s">
        <v>436</v>
      </c>
      <c r="D67" s="22">
        <v>1500</v>
      </c>
      <c r="E67" s="25" t="s">
        <v>35</v>
      </c>
      <c r="F67" s="25"/>
      <c r="G67" s="13"/>
      <c r="H67" s="26">
        <f>IF(D67="",0,IF(G67&gt;0,0,IF(E67="A",D67,IF(E67="M",D67*12,IF(E67="W",D67*Lookups!C$9,IF(E67="B",D67*+Lookups!C$10,IF(E67="S",D67*2,IF(AND(D67=0,G67&gt;0),G67,"ERROR"))))))))</f>
        <v>1500</v>
      </c>
      <c r="I67" s="22">
        <v>2000</v>
      </c>
      <c r="J67" s="25" t="s">
        <v>35</v>
      </c>
      <c r="K67" s="13"/>
      <c r="L67" s="26">
        <f>IF(I67="",0,IF(K67&gt;0,0,IF(J67="A",I67,IF(J67="M",I67*12,IF(J67="W",I67*Lookups!D$9,IF(J67="B",I67*+Lookups!D$10,IF(J67="S",I67*2,IF(AND(I67=0,K67&gt;0),K67,"ERROR"))))))))</f>
        <v>2000</v>
      </c>
      <c r="M67" s="103">
        <f>IF(OR(AND(L67=0,D67=0),K67&gt;0),"",IF(AND(E67="W",J67="W"),ROUND(L67-(D67*Lookups!$C$9),0),ROUND(+L67-H67,0)))</f>
        <v>500</v>
      </c>
      <c r="N67" s="84" t="str">
        <f t="shared" si="1"/>
        <v>I</v>
      </c>
      <c r="O67" s="100" t="s">
        <v>469</v>
      </c>
    </row>
    <row r="68" spans="1:20" s="104" customFormat="1" x14ac:dyDescent="0.35">
      <c r="A68" s="114"/>
      <c r="B68" s="78" t="s">
        <v>230</v>
      </c>
      <c r="C68" s="79" t="s">
        <v>231</v>
      </c>
      <c r="D68" s="81"/>
      <c r="E68" s="83"/>
      <c r="F68" s="83">
        <v>3700</v>
      </c>
      <c r="G68" s="80"/>
      <c r="H68" s="82">
        <f>IF(D68="",0,IF(G68&gt;0,0,IF(E68="A",D68,IF(E68="M",D68*12,IF(E68="W",D68*Lookups!C$9,IF(E68="B",D68*+Lookups!C$10,IF(E68="S",D68*2,IF(AND(D68=0,G68&gt;0),G68,"ERROR"))))))))</f>
        <v>0</v>
      </c>
      <c r="I68" s="81"/>
      <c r="J68" s="83"/>
      <c r="K68" s="80">
        <v>3000</v>
      </c>
      <c r="L68" s="82">
        <f>IF(I68="",0,IF(K68&gt;0,0,IF(J68="A",I68,IF(J68="M",I68*12,IF(J68="W",I68*Lookups!D$9,IF(J68="B",I68*+Lookups!D$10,IF(J68="S",I68*2,IF(AND(I68=0,K68&gt;0),K68,"ERROR"))))))))</f>
        <v>0</v>
      </c>
      <c r="M68" s="103" t="str">
        <f>IF(OR(AND(L68=0,D68=0),K68&gt;0),"",IF(AND(E68="W",J68="W"),ROUND(L68-(D68*Lookups!$C$9),0),ROUND(+L68-H68,0)))</f>
        <v/>
      </c>
      <c r="N68" s="84" t="str">
        <f t="shared" si="1"/>
        <v>E</v>
      </c>
      <c r="O68" s="98"/>
      <c r="P68" s="85"/>
      <c r="Q68" s="85"/>
      <c r="R68" s="85"/>
      <c r="S68" s="86"/>
      <c r="T68" s="87"/>
    </row>
    <row r="69" spans="1:20" x14ac:dyDescent="0.35">
      <c r="B69" s="24" t="s">
        <v>102</v>
      </c>
      <c r="C69" s="4" t="s">
        <v>103</v>
      </c>
      <c r="D69" s="22">
        <v>300</v>
      </c>
      <c r="E69" s="25" t="s">
        <v>39</v>
      </c>
      <c r="F69" s="25">
        <v>3000</v>
      </c>
      <c r="G69" s="13"/>
      <c r="H69" s="26">
        <f>IF(D69="",0,IF(G69&gt;0,0,IF(E69="A",D69,IF(E69="M",D69*12,IF(E69="W",D69*Lookups!C$9,IF(E69="B",D69*+Lookups!C$10,IF(E69="S",D69*2,IF(AND(D69=0,G69&gt;0),G69,"ERROR"))))))))</f>
        <v>3600</v>
      </c>
      <c r="I69" s="22">
        <v>300</v>
      </c>
      <c r="J69" s="25" t="s">
        <v>39</v>
      </c>
      <c r="K69" s="13"/>
      <c r="L69" s="26">
        <f>IF(I69="",0,IF(K69&gt;0,0,IF(J69="A",I69,IF(J69="M",I69*12,IF(J69="W",I69*Lookups!D$9,IF(J69="B",I69*+Lookups!D$10,IF(J69="S",I69*2,IF(AND(I69=0,K69&gt;0),K69,"ERROR"))))))))</f>
        <v>3600</v>
      </c>
      <c r="M69" s="103">
        <f>IF(OR(AND(L69=0,D69=0),K69&gt;0),"",IF(AND(E69="W",J69="W"),ROUND(L69-(D69*Lookups!$C$9),0),ROUND(+L69-H69,0)))</f>
        <v>0</v>
      </c>
      <c r="N69" s="84" t="str">
        <f t="shared" si="1"/>
        <v>S</v>
      </c>
      <c r="O69" s="97"/>
      <c r="P69" s="61" t="s">
        <v>371</v>
      </c>
    </row>
    <row r="70" spans="1:20" x14ac:dyDescent="0.35">
      <c r="B70" s="27" t="s">
        <v>232</v>
      </c>
      <c r="C70" s="4" t="s">
        <v>233</v>
      </c>
      <c r="D70" s="22"/>
      <c r="E70" s="25"/>
      <c r="F70" s="25">
        <v>1119</v>
      </c>
      <c r="G70" s="13">
        <v>400</v>
      </c>
      <c r="H70" s="26">
        <f>IF(D70="",0,IF(G70&gt;0,0,IF(E70="A",D70,IF(E70="M",D70*12,IF(E70="W",D70*Lookups!C$9,IF(E70="B",D70*+Lookups!C$10,IF(E70="S",D70*2,IF(AND(D70=0,G70&gt;0),G70,"ERROR"))))))))</f>
        <v>0</v>
      </c>
      <c r="I70" s="22">
        <v>30</v>
      </c>
      <c r="J70" s="25" t="s">
        <v>38</v>
      </c>
      <c r="K70" s="13"/>
      <c r="L70" s="26">
        <f>IF(I70="",0,IF(K70&gt;0,0,IF(J70="A",I70,IF(J70="M",I70*12,IF(J70="W",I70*Lookups!D$9,IF(J70="B",I70*+Lookups!D$10,IF(J70="S",I70*2,IF(AND(I70=0,K70&gt;0),K70,"ERROR"))))))))</f>
        <v>1560</v>
      </c>
      <c r="M70" s="103">
        <f>IF(OR(AND(L70=0,D70=0),K70&gt;0),"",IF(AND(E70="W",J70="W"),ROUND(L70-(D70*Lookups!$C$9),0),ROUND(+L70-H70,0)))</f>
        <v>1560</v>
      </c>
      <c r="N70" s="84" t="str">
        <f t="shared" si="1"/>
        <v>N</v>
      </c>
      <c r="O70" s="97"/>
    </row>
    <row r="71" spans="1:20" x14ac:dyDescent="0.35">
      <c r="B71" s="27" t="s">
        <v>577</v>
      </c>
      <c r="C71" s="4" t="s">
        <v>578</v>
      </c>
      <c r="D71" s="22"/>
      <c r="E71" s="25"/>
      <c r="F71" s="25">
        <v>825</v>
      </c>
      <c r="G71" s="13"/>
      <c r="H71" s="26">
        <f>IF(D71="",0,IF(G71&gt;0,0,IF(E71="A",D71,IF(E71="M",D71*12,IF(E71="W",D71*Lookups!C$9,IF(E71="B",D71*+Lookups!C$10,IF(E71="S",D71*2,IF(AND(D71=0,G71&gt;0),G71,"ERROR"))))))))</f>
        <v>0</v>
      </c>
      <c r="I71" s="22">
        <v>100</v>
      </c>
      <c r="J71" s="25" t="s">
        <v>39</v>
      </c>
      <c r="K71" s="13"/>
      <c r="L71" s="26">
        <f>IF(I71="",0,IF(K71&gt;0,0,IF(J71="A",I71,IF(J71="M",I71*12,IF(J71="W",I71*Lookups!D$9,IF(J71="B",I71*+Lookups!D$10,IF(J71="S",I71*2,IF(AND(I71=0,K71&gt;0),K71,"ERROR"))))))))</f>
        <v>1200</v>
      </c>
      <c r="M71" s="103">
        <f>IF(OR(AND(L71=0,D71=0),K71&gt;0),"",IF(AND(E71="W",J71="W"),ROUND(L71-(D71*Lookups!$C$9),0),ROUND(+L71-H71,0)))</f>
        <v>1200</v>
      </c>
      <c r="N71" s="84" t="str">
        <f t="shared" ref="N71" si="3">IF(K71&gt;0,"E",IF(M71="","",IF(M71=0,"S",IF(AND(M71&gt;0,NOT(D71=0)),"I",IF(AND(M71&gt;0,D71=0),"N",IF(M71&lt;0,"D","ERROR"))))))</f>
        <v>N</v>
      </c>
      <c r="O71" s="97"/>
    </row>
    <row r="72" spans="1:20" x14ac:dyDescent="0.35">
      <c r="B72" s="27" t="s">
        <v>234</v>
      </c>
      <c r="C72" s="4" t="s">
        <v>235</v>
      </c>
      <c r="D72" s="22"/>
      <c r="E72" s="25"/>
      <c r="F72" s="25">
        <v>750</v>
      </c>
      <c r="G72" s="13">
        <f>75*12</f>
        <v>900</v>
      </c>
      <c r="H72" s="26">
        <f>IF(D72="",0,IF(G72&gt;0,0,IF(E72="A",D72,IF(E72="M",D72*12,IF(E72="W",D72*Lookups!C$9,IF(E72="B",D72*+Lookups!C$10,IF(E72="S",D72*2,IF(AND(D72=0,G72&gt;0),G72,"ERROR"))))))))</f>
        <v>0</v>
      </c>
      <c r="I72" s="22"/>
      <c r="J72" s="25"/>
      <c r="K72" s="13">
        <v>500</v>
      </c>
      <c r="L72" s="26">
        <f>IF(I72="",0,IF(K72&gt;0,0,IF(J72="A",I72,IF(J72="M",I72*12,IF(J72="W",I72*Lookups!D$9,IF(J72="B",I72*+Lookups!D$10,IF(J72="S",I72*2,IF(AND(I72=0,K72&gt;0),K72,"ERROR"))))))))</f>
        <v>0</v>
      </c>
      <c r="M72" s="103" t="str">
        <f>IF(OR(AND(L72=0,D72=0),K72&gt;0),"",IF(AND(E72="W",J72="W"),ROUND(L72-(D72*Lookups!$C$9),0),ROUND(+L72-H72,0)))</f>
        <v/>
      </c>
      <c r="N72" s="84" t="str">
        <f t="shared" si="1"/>
        <v>E</v>
      </c>
      <c r="O72" s="97"/>
    </row>
    <row r="73" spans="1:20" x14ac:dyDescent="0.35">
      <c r="A73" s="106" t="s">
        <v>547</v>
      </c>
      <c r="B73" s="27" t="s">
        <v>104</v>
      </c>
      <c r="C73" s="4" t="s">
        <v>105</v>
      </c>
      <c r="D73" s="22"/>
      <c r="E73" s="25"/>
      <c r="F73" s="25">
        <v>20</v>
      </c>
      <c r="G73" s="13"/>
      <c r="H73" s="26">
        <f>IF(D73="",0,IF(G73&gt;0,0,IF(E73="A",D73,IF(E73="M",D73*12,IF(E73="W",D73*Lookups!C$9,IF(E73="B",D73*+Lookups!C$10,IF(E73="S",D73*2,IF(AND(D73=0,G73&gt;0),G73,"ERROR"))))))))</f>
        <v>0</v>
      </c>
      <c r="I73" s="22"/>
      <c r="J73" s="25"/>
      <c r="K73" s="13"/>
      <c r="L73" s="26">
        <f>IF(I73="",0,IF(K73&gt;0,0,IF(J73="A",I73,IF(J73="M",I73*12,IF(J73="W",I73*Lookups!D$9,IF(J73="B",I73*+Lookups!D$10,IF(J73="S",I73*2,IF(AND(I73=0,K73&gt;0),K73,"ERROR"))))))))</f>
        <v>0</v>
      </c>
      <c r="M73" s="103" t="str">
        <f>IF(OR(AND(L73=0,D73=0),K73&gt;0),"",IF(AND(E73="W",J73="W"),ROUND(L73-(D73*Lookups!$C$9),0),ROUND(+L73-H73,0)))</f>
        <v/>
      </c>
      <c r="N73" s="84" t="str">
        <f t="shared" ref="N73" si="4">IF(K73&gt;0,"E",IF(M73="","",IF(M73=0,"S",IF(AND(M73&gt;0,NOT(D73=0)),"I",IF(AND(M73&gt;0,D73=0),"N",IF(M73&lt;0,"D","ERROR"))))))</f>
        <v/>
      </c>
      <c r="O73" s="97"/>
    </row>
    <row r="74" spans="1:20" ht="15" customHeight="1" x14ac:dyDescent="0.35">
      <c r="B74" s="24" t="s">
        <v>106</v>
      </c>
      <c r="C74" s="4" t="s">
        <v>107</v>
      </c>
      <c r="D74" s="22">
        <v>100</v>
      </c>
      <c r="E74" s="25" t="s">
        <v>39</v>
      </c>
      <c r="F74" s="25">
        <v>900</v>
      </c>
      <c r="G74" s="13"/>
      <c r="H74" s="26">
        <f>IF(D74="",0,IF(G74&gt;0,0,IF(E74="A",D74,IF(E74="M",D74*12,IF(E74="W",D74*Lookups!C$9,IF(E74="B",D74*+Lookups!C$10,IF(E74="S",D74*2,IF(AND(D74=0,G74&gt;0),G74,"ERROR"))))))))</f>
        <v>1200</v>
      </c>
      <c r="I74" s="22">
        <v>100</v>
      </c>
      <c r="J74" s="25" t="s">
        <v>39</v>
      </c>
      <c r="K74" s="13"/>
      <c r="L74" s="26">
        <f>IF(I74="",0,IF(K74&gt;0,0,IF(J74="A",I74,IF(J74="M",I74*12,IF(J74="W",I74*Lookups!D$9,IF(J74="B",I74*+Lookups!D$10,IF(J74="S",I74*2,IF(AND(I74=0,K74&gt;0),K74,"ERROR"))))))))</f>
        <v>1200</v>
      </c>
      <c r="M74" s="103">
        <f>IF(OR(AND(L74=0,D74=0),K74&gt;0),"",IF(AND(E74="W",J74="W"),ROUND(L74-(D74*Lookups!$C$9),0),ROUND(+L74-H74,0)))</f>
        <v>0</v>
      </c>
      <c r="N74" s="84" t="str">
        <f t="shared" si="1"/>
        <v>S</v>
      </c>
      <c r="O74" s="97" t="s">
        <v>570</v>
      </c>
      <c r="Q74" s="62" t="s">
        <v>569</v>
      </c>
      <c r="R74" s="62" t="s">
        <v>322</v>
      </c>
      <c r="S74" s="63" t="s">
        <v>323</v>
      </c>
      <c r="T74" s="64">
        <v>53406</v>
      </c>
    </row>
    <row r="75" spans="1:20" x14ac:dyDescent="0.35">
      <c r="B75" s="24" t="s">
        <v>108</v>
      </c>
      <c r="C75" s="4" t="s">
        <v>109</v>
      </c>
      <c r="D75" s="22"/>
      <c r="E75" s="25"/>
      <c r="F75" s="25">
        <v>600</v>
      </c>
      <c r="G75" s="13">
        <v>250</v>
      </c>
      <c r="H75" s="26">
        <f>IF(D75="",0,IF(G75&gt;0,0,IF(E75="A",D75,IF(E75="M",D75*12,IF(E75="W",D75*Lookups!C$9,IF(E75="B",D75*+Lookups!C$10,IF(E75="S",D75*2,IF(AND(D75=0,G75&gt;0),G75,"ERROR"))))))))</f>
        <v>0</v>
      </c>
      <c r="I75" s="22">
        <v>50</v>
      </c>
      <c r="J75" s="25" t="s">
        <v>39</v>
      </c>
      <c r="K75" s="13"/>
      <c r="L75" s="26">
        <f>IF(I75="",0,IF(K75&gt;0,0,IF(J75="A",I75,IF(J75="M",I75*12,IF(J75="W",I75*Lookups!D$9,IF(J75="B",I75*+Lookups!D$10,IF(J75="S",I75*2,IF(AND(I75=0,K75&gt;0),K75,"ERROR"))))))))</f>
        <v>600</v>
      </c>
      <c r="M75" s="103">
        <f>IF(OR(AND(L75=0,D75=0),K75&gt;0),"",IF(AND(E75="W",J75="W"),ROUND(L75-(D75*Lookups!$C$9),0),ROUND(+L75-H75,0)))</f>
        <v>600</v>
      </c>
      <c r="N75" s="84" t="str">
        <f t="shared" si="1"/>
        <v>N</v>
      </c>
      <c r="O75" s="97"/>
    </row>
    <row r="76" spans="1:20" x14ac:dyDescent="0.35">
      <c r="B76" s="27" t="s">
        <v>110</v>
      </c>
      <c r="C76" s="4" t="s">
        <v>111</v>
      </c>
      <c r="D76" s="22">
        <v>1200</v>
      </c>
      <c r="E76" s="25" t="s">
        <v>35</v>
      </c>
      <c r="F76" s="25"/>
      <c r="G76" s="13"/>
      <c r="H76" s="26">
        <f>IF(D76="",0,IF(G76&gt;0,0,IF(E76="A",D76,IF(E76="M",D76*12,IF(E76="W",D76*Lookups!C$9,IF(E76="B",D76*+Lookups!C$10,IF(E76="S",D76*2,IF(AND(D76=0,G76&gt;0),G76,"ERROR"))))))))</f>
        <v>1200</v>
      </c>
      <c r="I76" s="22">
        <v>1200</v>
      </c>
      <c r="J76" s="25" t="s">
        <v>35</v>
      </c>
      <c r="K76" s="13"/>
      <c r="L76" s="26">
        <f>IF(I76="",0,IF(K76&gt;0,0,IF(J76="A",I76,IF(J76="M",I76*12,IF(J76="W",I76*Lookups!D$9,IF(J76="B",I76*+Lookups!D$10,IF(J76="S",I76*2,IF(AND(I76=0,K76&gt;0),K76,"ERROR"))))))))</f>
        <v>1200</v>
      </c>
      <c r="M76" s="103">
        <f>IF(OR(AND(L76=0,D76=0),K76&gt;0),"",IF(AND(E76="W",J76="W"),ROUND(L76-(D76*Lookups!$C$9),0),ROUND(+L76-H76,0)))</f>
        <v>0</v>
      </c>
      <c r="N76" s="84" t="str">
        <f t="shared" si="1"/>
        <v>S</v>
      </c>
      <c r="O76" s="97"/>
      <c r="P76" s="61" t="s">
        <v>372</v>
      </c>
      <c r="Q76" s="62" t="s">
        <v>373</v>
      </c>
      <c r="R76" s="62" t="s">
        <v>322</v>
      </c>
      <c r="S76" s="63" t="s">
        <v>323</v>
      </c>
      <c r="T76" s="64">
        <v>53406</v>
      </c>
    </row>
    <row r="77" spans="1:20" x14ac:dyDescent="0.35">
      <c r="B77" s="27" t="s">
        <v>112</v>
      </c>
      <c r="C77" s="4" t="s">
        <v>109</v>
      </c>
      <c r="D77" s="22">
        <v>200</v>
      </c>
      <c r="E77" s="25" t="s">
        <v>39</v>
      </c>
      <c r="F77" s="25">
        <v>2000</v>
      </c>
      <c r="G77" s="13"/>
      <c r="H77" s="26">
        <f>IF(D77="",0,IF(G77&gt;0,0,IF(E77="A",D77,IF(E77="M",D77*12,IF(E77="W",D77*Lookups!C$9,IF(E77="B",D77*+Lookups!C$10,IF(E77="S",D77*2,IF(AND(D77=0,G77&gt;0),G77,"ERROR"))))))))</f>
        <v>2400</v>
      </c>
      <c r="I77" s="22">
        <v>200</v>
      </c>
      <c r="J77" s="25" t="s">
        <v>39</v>
      </c>
      <c r="K77" s="13"/>
      <c r="L77" s="26">
        <f>IF(I77="",0,IF(K77&gt;0,0,IF(J77="A",I77,IF(J77="M",I77*12,IF(J77="W",I77*Lookups!D$9,IF(J77="B",I77*+Lookups!D$10,IF(J77="S",I77*2,IF(AND(I77=0,K77&gt;0),K77,"ERROR"))))))))</f>
        <v>2400</v>
      </c>
      <c r="M77" s="103">
        <f>IF(OR(AND(L77=0,D77=0),K77&gt;0),"",IF(AND(E77="W",J77="W"),ROUND(L77-(D77*Lookups!$C$9),0),ROUND(+L77-H77,0)))</f>
        <v>0</v>
      </c>
      <c r="N77" s="84" t="str">
        <f t="shared" si="1"/>
        <v>S</v>
      </c>
      <c r="O77" s="97"/>
      <c r="P77" s="61" t="s">
        <v>374</v>
      </c>
      <c r="Q77" s="62" t="s">
        <v>375</v>
      </c>
      <c r="R77" s="62" t="s">
        <v>322</v>
      </c>
      <c r="S77" s="63" t="s">
        <v>323</v>
      </c>
      <c r="T77" s="64">
        <v>53406</v>
      </c>
    </row>
    <row r="78" spans="1:20" x14ac:dyDescent="0.35">
      <c r="B78" s="27" t="s">
        <v>566</v>
      </c>
      <c r="C78" s="4" t="s">
        <v>567</v>
      </c>
      <c r="D78" s="22">
        <v>3600</v>
      </c>
      <c r="E78" s="25" t="s">
        <v>35</v>
      </c>
      <c r="F78" s="25">
        <v>3600</v>
      </c>
      <c r="G78" s="13"/>
      <c r="H78" s="26">
        <f>IF(D78="",0,IF(G78&gt;0,0,IF(E78="A",D78,IF(E78="M",D78*12,IF(E78="W",D78*Lookups!C$9,IF(E78="B",D78*+Lookups!C$10,IF(E78="S",D78*2,IF(AND(D78=0,G78&gt;0),G78,"ERROR"))))))))</f>
        <v>3600</v>
      </c>
      <c r="I78" s="22">
        <v>3600</v>
      </c>
      <c r="J78" s="25" t="s">
        <v>35</v>
      </c>
      <c r="K78" s="13"/>
      <c r="L78" s="26">
        <f>IF(I78="",0,IF(K78&gt;0,0,IF(J78="A",I78,IF(J78="M",I78*12,IF(J78="W",I78*Lookups!D$9,IF(J78="B",I78*+Lookups!D$10,IF(J78="S",I78*2,IF(AND(I78=0,K78&gt;0),K78,"ERROR"))))))))</f>
        <v>3600</v>
      </c>
      <c r="M78" s="103">
        <f>IF(OR(AND(L78=0,D78=0),K78&gt;0),"",IF(AND(E78="W",J78="W"),ROUND(L78-(D78*Lookups!$C$9),0),ROUND(+L78-H78,0)))</f>
        <v>0</v>
      </c>
      <c r="N78" s="84" t="str">
        <f t="shared" si="1"/>
        <v>S</v>
      </c>
      <c r="O78" s="97"/>
      <c r="P78" s="61"/>
    </row>
    <row r="79" spans="1:20" ht="29" x14ac:dyDescent="0.35">
      <c r="B79" s="27" t="s">
        <v>113</v>
      </c>
      <c r="C79" s="4" t="s">
        <v>114</v>
      </c>
      <c r="D79" s="22">
        <v>100</v>
      </c>
      <c r="E79" s="25" t="s">
        <v>38</v>
      </c>
      <c r="F79" s="25">
        <v>4395</v>
      </c>
      <c r="G79" s="13"/>
      <c r="H79" s="26">
        <f>IF(D79="",0,IF(G79&gt;0,0,IF(E79="A",D79,IF(E79="M",D79*12,IF(E79="W",D79*Lookups!C$9,IF(E79="B",D79*+Lookups!C$10,IF(E79="S",D79*2,IF(AND(D79=0,G79&gt;0),G79,"ERROR"))))))))</f>
        <v>5200</v>
      </c>
      <c r="I79" s="22">
        <v>106</v>
      </c>
      <c r="J79" s="25" t="s">
        <v>38</v>
      </c>
      <c r="K79" s="13"/>
      <c r="L79" s="26">
        <f>IF(I79="",0,IF(K79&gt;0,0,IF(J79="A",I79,IF(J79="M",I79*12,IF(J79="W",I79*Lookups!D$9,IF(J79="B",I79*+Lookups!D$10,IF(J79="S",I79*2,IF(AND(I79=0,K79&gt;0),K79,"ERROR"))))))))</f>
        <v>5512</v>
      </c>
      <c r="M79" s="103">
        <f>IF(OR(AND(L79=0,D79=0),K79&gt;0),"",IF(AND(E79="W",J79="W"),ROUND(L79-(D79*Lookups!$C$9),0),ROUND(+L79-H79,0)))</f>
        <v>312</v>
      </c>
      <c r="N79" s="84" t="str">
        <f t="shared" si="1"/>
        <v>I</v>
      </c>
      <c r="O79" s="97"/>
      <c r="P79" s="94" t="s">
        <v>471</v>
      </c>
      <c r="Q79" s="62" t="s">
        <v>376</v>
      </c>
      <c r="R79" s="62" t="s">
        <v>344</v>
      </c>
      <c r="S79" s="63" t="s">
        <v>323</v>
      </c>
      <c r="T79" s="64">
        <v>53405</v>
      </c>
    </row>
    <row r="80" spans="1:20" x14ac:dyDescent="0.35">
      <c r="B80" s="27" t="s">
        <v>606</v>
      </c>
      <c r="C80" s="4" t="s">
        <v>607</v>
      </c>
      <c r="D80" s="22"/>
      <c r="E80" s="25"/>
      <c r="F80" s="25">
        <v>1.4</v>
      </c>
      <c r="G80" s="13"/>
      <c r="H80" s="26">
        <f>IF(D80="",0,IF(G80&gt;0,0,IF(E80="A",D80,IF(E80="M",D80*12,IF(E80="W",D80*Lookups!C$9,IF(E80="B",D80*+Lookups!C$10,IF(E80="S",D80*2,IF(AND(D80=0,G80&gt;0),G80,"ERROR"))))))))</f>
        <v>0</v>
      </c>
      <c r="I80" s="22"/>
      <c r="J80" s="25"/>
      <c r="K80" s="13"/>
      <c r="L80" s="26">
        <f>IF(I80="",0,IF(K80&gt;0,0,IF(J80="A",I80,IF(J80="M",I80*12,IF(J80="W",I80*Lookups!D$9,IF(J80="B",I80*+Lookups!D$10,IF(J80="S",I80*2,IF(AND(I80=0,K80&gt;0),K80,"ERROR"))))))))</f>
        <v>0</v>
      </c>
      <c r="M80" s="103" t="str">
        <f>IF(OR(AND(L80=0,D80=0),K80&gt;0),"",IF(AND(E80="W",J80="W"),ROUND(L80-(D80*Lookups!$C$9),0),ROUND(+L80-H80,0)))</f>
        <v/>
      </c>
      <c r="N80" s="84" t="str">
        <f t="shared" ref="N80" si="5">IF(K80&gt;0,"E",IF(M80="","",IF(M80=0,"S",IF(AND(M80&gt;0,NOT(D80=0)),"I",IF(AND(M80&gt;0,D80=0),"N",IF(M80&lt;0,"D","ERROR"))))))</f>
        <v/>
      </c>
      <c r="O80" s="97"/>
      <c r="P80" s="94"/>
    </row>
    <row r="81" spans="1:20" x14ac:dyDescent="0.35">
      <c r="B81" s="24" t="s">
        <v>115</v>
      </c>
      <c r="C81" s="4" t="s">
        <v>116</v>
      </c>
      <c r="D81" s="22"/>
      <c r="E81" s="25"/>
      <c r="F81" s="25">
        <v>611</v>
      </c>
      <c r="G81" s="13">
        <v>650</v>
      </c>
      <c r="H81" s="26">
        <f>IF(D81="",0,IF(G81&gt;0,0,IF(E81="A",D81,IF(E81="M",D81*12,IF(E81="W",D81*Lookups!C$9,IF(E81="B",D81*+Lookups!C$10,IF(E81="S",D81*2,IF(AND(D81=0,G81&gt;0),G81,"ERROR"))))))))</f>
        <v>0</v>
      </c>
      <c r="I81" s="22"/>
      <c r="J81" s="25"/>
      <c r="K81" s="13">
        <v>500</v>
      </c>
      <c r="L81" s="26">
        <f>IF(I81="",0,IF(K81&gt;0,0,IF(J81="A",I81,IF(J81="M",I81*12,IF(J81="W",I81*Lookups!D$9,IF(J81="B",I81*+Lookups!D$10,IF(J81="S",I81*2,IF(AND(I81=0,K81&gt;0),K81,"ERROR"))))))))</f>
        <v>0</v>
      </c>
      <c r="M81" s="103" t="str">
        <f>IF(OR(AND(L81=0,D81=0),K81&gt;0),"",IF(AND(E81="W",J81="W"),ROUND(L81-(D81*Lookups!$C$9),0),ROUND(+L81-H81,0)))</f>
        <v/>
      </c>
      <c r="N81" s="84" t="str">
        <f t="shared" si="1"/>
        <v>E</v>
      </c>
      <c r="O81" s="97"/>
      <c r="P81" s="61"/>
    </row>
    <row r="82" spans="1:20" x14ac:dyDescent="0.35">
      <c r="B82" s="27" t="s">
        <v>117</v>
      </c>
      <c r="C82" s="4" t="s">
        <v>118</v>
      </c>
      <c r="D82" s="22">
        <v>650</v>
      </c>
      <c r="E82" s="25" t="s">
        <v>39</v>
      </c>
      <c r="F82" s="25">
        <v>6500</v>
      </c>
      <c r="G82" s="13"/>
      <c r="H82" s="26">
        <f>IF(D82="",0,IF(G82&gt;0,0,IF(E82="A",D82,IF(E82="M",D82*12,IF(E82="W",D82*Lookups!C$9,IF(E82="B",D82*+Lookups!C$10,IF(E82="S",D82*2,IF(AND(D82=0,G82&gt;0),G82,"ERROR"))))))))</f>
        <v>7800</v>
      </c>
      <c r="I82" s="22">
        <v>700</v>
      </c>
      <c r="J82" s="25" t="s">
        <v>39</v>
      </c>
      <c r="K82" s="13"/>
      <c r="L82" s="26">
        <f>IF(I82="",0,IF(K82&gt;0,0,IF(J82="A",I82,IF(J82="M",I82*12,IF(J82="W",I82*Lookups!D$9,IF(J82="B",I82*+Lookups!D$10,IF(J82="S",I82*2,IF(AND(I82=0,K82&gt;0),K82,"ERROR"))))))))</f>
        <v>8400</v>
      </c>
      <c r="M82" s="103">
        <f>IF(OR(AND(L82=0,D82=0),K82&gt;0),"",IF(AND(E82="W",J82="W"),ROUND(L82-(D82*Lookups!$C$9),0),ROUND(+L82-H82,0)))</f>
        <v>600</v>
      </c>
      <c r="N82" s="84" t="str">
        <f t="shared" si="1"/>
        <v>I</v>
      </c>
      <c r="O82" s="97"/>
      <c r="P82" s="61" t="s">
        <v>377</v>
      </c>
      <c r="Q82" s="62" t="s">
        <v>472</v>
      </c>
      <c r="R82" s="62" t="s">
        <v>344</v>
      </c>
      <c r="S82" s="63" t="s">
        <v>323</v>
      </c>
      <c r="T82" s="64">
        <v>53405</v>
      </c>
    </row>
    <row r="83" spans="1:20" x14ac:dyDescent="0.35">
      <c r="B83" s="27" t="s">
        <v>117</v>
      </c>
      <c r="C83" s="4" t="s">
        <v>119</v>
      </c>
      <c r="D83" s="22">
        <v>2500</v>
      </c>
      <c r="E83" s="25" t="s">
        <v>35</v>
      </c>
      <c r="F83" s="25"/>
      <c r="G83" s="13"/>
      <c r="H83" s="26">
        <f>IF(D83="",0,IF(G83&gt;0,0,IF(E83="A",D83,IF(E83="M",D83*12,IF(E83="W",D83*Lookups!C$9,IF(E83="B",D83*+Lookups!C$10,IF(E83="S",D83*2,IF(AND(D83=0,G83&gt;0),G83,"ERROR"))))))))</f>
        <v>2500</v>
      </c>
      <c r="I83" s="22">
        <v>2500</v>
      </c>
      <c r="J83" s="25" t="s">
        <v>35</v>
      </c>
      <c r="K83" s="13"/>
      <c r="L83" s="26">
        <f>IF(I83="",0,IF(K83&gt;0,0,IF(J83="A",I83,IF(J83="M",I83*12,IF(J83="W",I83*Lookups!D$9,IF(J83="B",I83*+Lookups!D$10,IF(J83="S",I83*2,IF(AND(I83=0,K83&gt;0),K83,"ERROR"))))))))</f>
        <v>2500</v>
      </c>
      <c r="M83" s="103">
        <f>IF(OR(AND(L83=0,D83=0),K83&gt;0),"",IF(AND(E83="W",J83="W"),ROUND(L83-(D83*Lookups!$C$9),0),ROUND(+L83-H83,0)))</f>
        <v>0</v>
      </c>
      <c r="N83" s="84" t="str">
        <f t="shared" si="1"/>
        <v>S</v>
      </c>
      <c r="O83" s="97" t="s">
        <v>563</v>
      </c>
      <c r="P83" s="61" t="s">
        <v>378</v>
      </c>
      <c r="Q83" s="62" t="s">
        <v>379</v>
      </c>
      <c r="R83" s="62" t="s">
        <v>328</v>
      </c>
      <c r="S83" s="63" t="s">
        <v>323</v>
      </c>
      <c r="T83" s="64">
        <v>53126</v>
      </c>
    </row>
    <row r="84" spans="1:20" x14ac:dyDescent="0.35">
      <c r="B84" s="27" t="s">
        <v>120</v>
      </c>
      <c r="C84" s="4" t="s">
        <v>121</v>
      </c>
      <c r="D84" s="22"/>
      <c r="E84" s="25"/>
      <c r="F84" s="25">
        <v>120</v>
      </c>
      <c r="G84" s="13"/>
      <c r="H84" s="26">
        <f>IF(D84="",0,IF(G84&gt;0,0,IF(E84="A",D84,IF(E84="M",D84*12,IF(E84="W",D84*Lookups!C$9,IF(E84="B",D84*+Lookups!C$10,IF(E84="S",D84*2,IF(AND(D84=0,G84&gt;0),G84,"ERROR"))))))))</f>
        <v>0</v>
      </c>
      <c r="I84" s="22"/>
      <c r="J84" s="25"/>
      <c r="K84" s="13"/>
      <c r="L84" s="26">
        <f>IF(I84="",0,IF(K84&gt;0,0,IF(J84="A",I84,IF(J84="M",I84*12,IF(J84="W",I84*Lookups!D$9,IF(J84="B",I84*+Lookups!D$10,IF(J84="S",I84*2,IF(AND(I84=0,K84&gt;0),K84,"ERROR"))))))))</f>
        <v>0</v>
      </c>
      <c r="M84" s="103" t="str">
        <f>IF(OR(AND(L84=0,D84=0),K84&gt;0),"",IF(AND(E84="W",J84="W"),ROUND(L84-(D84*Lookups!$C$9),0),ROUND(+L84-H84,0)))</f>
        <v/>
      </c>
      <c r="N84" s="84" t="str">
        <f t="shared" si="1"/>
        <v/>
      </c>
      <c r="O84" s="97"/>
    </row>
    <row r="85" spans="1:20" x14ac:dyDescent="0.35">
      <c r="B85" s="27" t="s">
        <v>236</v>
      </c>
      <c r="C85" s="4" t="s">
        <v>237</v>
      </c>
      <c r="D85" s="22"/>
      <c r="E85" s="25"/>
      <c r="F85" s="25">
        <v>1620</v>
      </c>
      <c r="G85" s="13">
        <v>700</v>
      </c>
      <c r="H85" s="26">
        <f>IF(D85="",0,IF(G85&gt;0,0,IF(E85="A",D85,IF(E85="M",D85*12,IF(E85="W",D85*Lookups!C$9,IF(E85="B",D85*+Lookups!C$10,IF(E85="S",D85*2,IF(AND(D85=0,G85&gt;0),G85,"ERROR"))))))))</f>
        <v>0</v>
      </c>
      <c r="I85" s="22"/>
      <c r="J85" s="25"/>
      <c r="K85" s="13">
        <v>1000</v>
      </c>
      <c r="L85" s="26">
        <f>IF(I85="",0,IF(K85&gt;0,0,IF(J85="A",I85,IF(J85="M",I85*12,IF(J85="W",I85*Lookups!D$9,IF(J85="B",I85*+Lookups!D$10,IF(J85="S",I85*2,IF(AND(I85=0,K85&gt;0),K85,"ERROR"))))))))</f>
        <v>0</v>
      </c>
      <c r="M85" s="103" t="str">
        <f>IF(OR(AND(L85=0,D85=0),K85&gt;0),"",IF(AND(E85="W",J85="W"),ROUND(L85-(D85*Lookups!$C$9),0),ROUND(+L85-H85,0)))</f>
        <v/>
      </c>
      <c r="N85" s="84" t="str">
        <f t="shared" si="1"/>
        <v>E</v>
      </c>
      <c r="O85" s="97"/>
    </row>
    <row r="86" spans="1:20" x14ac:dyDescent="0.35">
      <c r="B86" s="27" t="s">
        <v>236</v>
      </c>
      <c r="C86" s="4" t="s">
        <v>18</v>
      </c>
      <c r="D86" s="22"/>
      <c r="E86" s="25"/>
      <c r="F86" s="25">
        <v>2500</v>
      </c>
      <c r="G86" s="13">
        <f>266.666666666667*12</f>
        <v>3200.0000000000045</v>
      </c>
      <c r="H86" s="26">
        <f>IF(D86="",0,IF(G86&gt;0,0,IF(E86="A",D86,IF(E86="M",D86*12,IF(E86="W",D86*Lookups!C$9,IF(E86="B",D86*+Lookups!C$10,IF(E86="S",D86*2,IF(AND(D86=0,G86&gt;0),G86,"ERROR"))))))))</f>
        <v>0</v>
      </c>
      <c r="I86" s="22"/>
      <c r="J86" s="25"/>
      <c r="K86" s="13">
        <v>2500</v>
      </c>
      <c r="L86" s="26">
        <f>IF(I86="",0,IF(K86&gt;0,0,IF(J86="A",I86,IF(J86="M",I86*12,IF(J86="W",I86*Lookups!D$9,IF(J86="B",I86*+Lookups!D$10,IF(J86="S",I86*2,IF(AND(I86=0,K86&gt;0),K86,"ERROR"))))))))</f>
        <v>0</v>
      </c>
      <c r="M86" s="103" t="str">
        <f>IF(OR(AND(L86=0,D86=0),K86&gt;0),"",IF(AND(E86="W",J86="W"),ROUND(L86-(D86*Lookups!$C$9),0),ROUND(+L86-H86,0)))</f>
        <v/>
      </c>
      <c r="N86" s="84" t="str">
        <f t="shared" si="1"/>
        <v>E</v>
      </c>
      <c r="O86" s="97"/>
    </row>
    <row r="87" spans="1:20" x14ac:dyDescent="0.35">
      <c r="A87" s="106" t="s">
        <v>547</v>
      </c>
      <c r="B87" s="27" t="s">
        <v>238</v>
      </c>
      <c r="C87" s="4" t="s">
        <v>239</v>
      </c>
      <c r="D87" s="22"/>
      <c r="E87" s="25"/>
      <c r="F87" s="25"/>
      <c r="G87" s="13">
        <v>300</v>
      </c>
      <c r="H87" s="26">
        <f>IF(D87="",0,IF(G87&gt;0,0,IF(E87="A",D87,IF(E87="M",D87*12,IF(E87="W",D87*Lookups!C$9,IF(E87="B",D87*+Lookups!C$10,IF(E87="S",D87*2,IF(AND(D87=0,G87&gt;0),G87,"ERROR"))))))))</f>
        <v>0</v>
      </c>
      <c r="I87" s="22"/>
      <c r="J87" s="25"/>
      <c r="K87" s="13"/>
      <c r="L87" s="26">
        <f>IF(I87="",0,IF(K87&gt;0,0,IF(J87="A",I87,IF(J87="M",I87*12,IF(J87="W",I87*Lookups!D$9,IF(J87="B",I87*+Lookups!D$10,IF(J87="S",I87*2,IF(AND(I87=0,K87&gt;0),K87,"ERROR"))))))))</f>
        <v>0</v>
      </c>
      <c r="M87" s="103" t="str">
        <f>IF(OR(AND(L87=0,D87=0),K87&gt;0),"",IF(AND(E87="W",J87="W"),ROUND(L87-(D87*Lookups!$C$9),0),ROUND(+L87-H87,0)))</f>
        <v/>
      </c>
      <c r="N87" s="84" t="str">
        <f t="shared" si="1"/>
        <v/>
      </c>
      <c r="O87" s="97"/>
    </row>
    <row r="88" spans="1:20" x14ac:dyDescent="0.35">
      <c r="B88" s="27" t="s">
        <v>240</v>
      </c>
      <c r="C88" s="4" t="s">
        <v>241</v>
      </c>
      <c r="D88" s="22"/>
      <c r="E88" s="25"/>
      <c r="F88" s="25">
        <v>730</v>
      </c>
      <c r="G88" s="13"/>
      <c r="H88" s="26">
        <f>IF(D88="",0,IF(G88&gt;0,0,IF(E88="A",D88,IF(E88="M",D88*12,IF(E88="W",D88*Lookups!C$9,IF(E88="B",D88*+Lookups!C$10,IF(E88="S",D88*2,IF(AND(D88=0,G88&gt;0),G88,"ERROR"))))))))</f>
        <v>0</v>
      </c>
      <c r="I88" s="22"/>
      <c r="J88" s="25"/>
      <c r="K88" s="13">
        <v>500</v>
      </c>
      <c r="L88" s="26">
        <f>IF(I88="",0,IF(K88&gt;0,0,IF(J88="A",I88,IF(J88="M",I88*12,IF(J88="W",I88*Lookups!D$9,IF(J88="B",I88*+Lookups!D$10,IF(J88="S",I88*2,IF(AND(I88=0,K88&gt;0),K88,"ERROR"))))))))</f>
        <v>0</v>
      </c>
      <c r="M88" s="103" t="str">
        <f>IF(OR(AND(L88=0,D88=0),K88&gt;0),"",IF(AND(E88="W",J88="W"),ROUND(L88-(D88*Lookups!$C$9),0),ROUND(+L88-H88,0)))</f>
        <v/>
      </c>
      <c r="N88" s="84" t="str">
        <f t="shared" si="1"/>
        <v>E</v>
      </c>
      <c r="O88" s="97"/>
    </row>
    <row r="89" spans="1:20" x14ac:dyDescent="0.35">
      <c r="B89" s="27" t="s">
        <v>579</v>
      </c>
      <c r="C89" s="4" t="s">
        <v>580</v>
      </c>
      <c r="D89" s="22"/>
      <c r="E89" s="25"/>
      <c r="F89" s="25">
        <v>1700</v>
      </c>
      <c r="G89" s="13"/>
      <c r="H89" s="26">
        <f>IF(D89="",0,IF(G89&gt;0,0,IF(E89="A",D89,IF(E89="M",D89*12,IF(E89="W",D89*Lookups!C$9,IF(E89="B",D89*+Lookups!C$10,IF(E89="S",D89*2,IF(AND(D89=0,G89&gt;0),G89,"ERROR"))))))))</f>
        <v>0</v>
      </c>
      <c r="I89" s="22">
        <v>200</v>
      </c>
      <c r="J89" s="25" t="s">
        <v>39</v>
      </c>
      <c r="K89" s="13"/>
      <c r="L89" s="26">
        <f>IF(I89="",0,IF(K89&gt;0,0,IF(J89="A",I89,IF(J89="M",I89*12,IF(J89="W",I89*Lookups!D$9,IF(J89="B",I89*+Lookups!D$10,IF(J89="S",I89*2,IF(AND(I89=0,K89&gt;0),K89,"ERROR"))))))))</f>
        <v>2400</v>
      </c>
      <c r="M89" s="103">
        <f>IF(OR(AND(L89=0,D89=0),K89&gt;0),"",IF(AND(E89="W",J89="W"),ROUND(L89-(D89*Lookups!$C$9),0),ROUND(+L89-H89,0)))</f>
        <v>2400</v>
      </c>
      <c r="N89" s="84" t="str">
        <f t="shared" ref="N89" si="6">IF(K89&gt;0,"E",IF(M89="","",IF(M89=0,"S",IF(AND(M89&gt;0,NOT(D89=0)),"I",IF(AND(M89&gt;0,D89=0),"N",IF(M89&lt;0,"D","ERROR"))))))</f>
        <v>N</v>
      </c>
      <c r="O89" s="97"/>
    </row>
    <row r="90" spans="1:20" x14ac:dyDescent="0.35">
      <c r="B90" s="27" t="s">
        <v>242</v>
      </c>
      <c r="C90" s="4" t="s">
        <v>18</v>
      </c>
      <c r="D90" s="22"/>
      <c r="E90" s="25"/>
      <c r="F90" s="25">
        <v>185</v>
      </c>
      <c r="G90" s="13">
        <v>100</v>
      </c>
      <c r="H90" s="26">
        <f>IF(D90="",0,IF(G90&gt;0,0,IF(E90="A",D90,IF(E90="M",D90*12,IF(E90="W",D90*Lookups!C$9,IF(E90="B",D90*+Lookups!C$10,IF(E90="S",D90*2,IF(AND(D90=0,G90&gt;0),G90,"ERROR"))))))))</f>
        <v>0</v>
      </c>
      <c r="I90" s="22">
        <v>20</v>
      </c>
      <c r="J90" s="25" t="s">
        <v>39</v>
      </c>
      <c r="K90" s="13"/>
      <c r="L90" s="26">
        <f>IF(I90="",0,IF(K90&gt;0,0,IF(J90="A",I90,IF(J90="M",I90*12,IF(J90="W",I90*Lookups!D$9,IF(J90="B",I90*+Lookups!D$10,IF(J90="S",I90*2,IF(AND(I90=0,K90&gt;0),K90,"ERROR"))))))))</f>
        <v>240</v>
      </c>
      <c r="M90" s="103">
        <f>IF(OR(AND(L90=0,D90=0),K90&gt;0),"",IF(AND(E90="W",J90="W"),ROUND(L90-(D90*Lookups!$C$9),0),ROUND(+L90-H90,0)))</f>
        <v>240</v>
      </c>
      <c r="N90" s="84" t="str">
        <f t="shared" si="1"/>
        <v>N</v>
      </c>
      <c r="O90" s="97" t="s">
        <v>476</v>
      </c>
      <c r="P90" s="61" t="s">
        <v>473</v>
      </c>
      <c r="Q90" s="62" t="s">
        <v>474</v>
      </c>
      <c r="R90" s="62" t="s">
        <v>475</v>
      </c>
      <c r="S90" s="63" t="s">
        <v>323</v>
      </c>
      <c r="T90" s="64">
        <v>53406</v>
      </c>
    </row>
    <row r="91" spans="1:20" x14ac:dyDescent="0.35">
      <c r="B91" s="27" t="s">
        <v>122</v>
      </c>
      <c r="C91" s="4" t="s">
        <v>243</v>
      </c>
      <c r="D91" s="22"/>
      <c r="E91" s="25"/>
      <c r="F91" s="25">
        <v>350</v>
      </c>
      <c r="G91" s="13">
        <f>50*12</f>
        <v>600</v>
      </c>
      <c r="H91" s="26">
        <f>IF(D91="",0,IF(G91&gt;0,0,IF(E91="A",D91,IF(E91="M",D91*12,IF(E91="W",D91*Lookups!C$9,IF(E91="B",D91*+Lookups!C$10,IF(E91="S",D91*2,IF(AND(D91=0,G91&gt;0),G91,"ERROR"))))))))</f>
        <v>0</v>
      </c>
      <c r="I91" s="22"/>
      <c r="J91" s="25"/>
      <c r="K91" s="13">
        <v>200</v>
      </c>
      <c r="L91" s="26">
        <f>IF(I91="",0,IF(K91&gt;0,0,IF(J91="A",I91,IF(J91="M",I91*12,IF(J91="W",I91*Lookups!D$9,IF(J91="B",I91*+Lookups!D$10,IF(J91="S",I91*2,IF(AND(I91=0,K91&gt;0),K91,"ERROR"))))))))</f>
        <v>0</v>
      </c>
      <c r="M91" s="103" t="str">
        <f>IF(OR(AND(L91=0,D91=0),K91&gt;0),"",IF(AND(E91="W",J91="W"),ROUND(L91-(D91*Lookups!$C$9),0),ROUND(+L91-H91,0)))</f>
        <v/>
      </c>
      <c r="N91" s="84" t="str">
        <f t="shared" si="1"/>
        <v>E</v>
      </c>
      <c r="O91" s="97"/>
    </row>
    <row r="92" spans="1:20" x14ac:dyDescent="0.35">
      <c r="B92" s="27" t="s">
        <v>122</v>
      </c>
      <c r="C92" s="4" t="s">
        <v>123</v>
      </c>
      <c r="D92" s="22">
        <v>25</v>
      </c>
      <c r="E92" s="25" t="s">
        <v>39</v>
      </c>
      <c r="F92" s="25">
        <v>500</v>
      </c>
      <c r="G92" s="13"/>
      <c r="H92" s="26">
        <f>IF(D92="",0,IF(G92&gt;0,0,IF(E92="A",D92,IF(E92="M",D92*12,IF(E92="W",D92*Lookups!C$9,IF(E92="B",D92*+Lookups!C$10,IF(E92="S",D92*2,IF(AND(D92=0,G92&gt;0),G92,"ERROR"))))))))</f>
        <v>300</v>
      </c>
      <c r="I92" s="22"/>
      <c r="J92" s="25"/>
      <c r="K92" s="13">
        <v>300</v>
      </c>
      <c r="L92" s="26">
        <f>IF(I92="",0,IF(K92&gt;0,0,IF(J92="A",I92,IF(J92="M",I92*12,IF(J92="W",I92*Lookups!D$9,IF(J92="B",I92*+Lookups!D$10,IF(J92="S",I92*2,IF(AND(I92=0,K92&gt;0),K92,"ERROR"))))))))</f>
        <v>0</v>
      </c>
      <c r="M92" s="103" t="str">
        <f>IF(OR(AND(L92=0,D92=0),K92&gt;0),"",IF(AND(E92="W",J92="W"),ROUND(L92-(D92*Lookups!$C$9),0),ROUND(+L92-H92,0)))</f>
        <v/>
      </c>
      <c r="N92" s="84" t="str">
        <f t="shared" si="1"/>
        <v>E</v>
      </c>
      <c r="O92" s="97"/>
      <c r="P92" s="61" t="s">
        <v>553</v>
      </c>
      <c r="Q92" s="62" t="s">
        <v>554</v>
      </c>
      <c r="R92" s="62" t="s">
        <v>475</v>
      </c>
      <c r="S92" s="63" t="s">
        <v>323</v>
      </c>
      <c r="T92" s="64">
        <v>53406</v>
      </c>
    </row>
    <row r="93" spans="1:20" ht="29" x14ac:dyDescent="0.35">
      <c r="B93" s="27" t="s">
        <v>124</v>
      </c>
      <c r="C93" s="4" t="s">
        <v>125</v>
      </c>
      <c r="D93" s="22">
        <v>2200</v>
      </c>
      <c r="E93" s="25" t="s">
        <v>35</v>
      </c>
      <c r="F93" s="25">
        <v>2140</v>
      </c>
      <c r="G93" s="13"/>
      <c r="H93" s="26">
        <f>IF(D93="",0,IF(G93&gt;0,0,IF(E93="A",D93,IF(E93="M",D93*12,IF(E93="W",D93*Lookups!C$9,IF(E93="B",D93*+Lookups!C$10,IF(E93="S",D93*2,IF(AND(D93=0,G93&gt;0),G93,"ERROR"))))))))</f>
        <v>2200</v>
      </c>
      <c r="I93" s="22">
        <v>3000</v>
      </c>
      <c r="J93" s="25" t="s">
        <v>35</v>
      </c>
      <c r="K93" s="13"/>
      <c r="L93" s="26">
        <f>IF(I93="",0,IF(K93&gt;0,0,IF(J93="A",I93,IF(J93="M",I93*12,IF(J93="W",I93*Lookups!D$9,IF(J93="B",I93*+Lookups!D$10,IF(J93="S",I93*2,IF(AND(I93=0,K93&gt;0),K93,"ERROR"))))))))</f>
        <v>3000</v>
      </c>
      <c r="M93" s="103">
        <f>IF(OR(AND(L93=0,D93=0),K93&gt;0),"",IF(AND(E93="W",J93="W"),ROUND(L93-(D93*Lookups!$C$9),0),ROUND(+L93-H93,0)))</f>
        <v>800</v>
      </c>
      <c r="N93" s="84" t="str">
        <f t="shared" si="1"/>
        <v>I</v>
      </c>
      <c r="O93" s="97" t="s">
        <v>478</v>
      </c>
      <c r="P93" s="94" t="s">
        <v>477</v>
      </c>
      <c r="Q93" s="62" t="s">
        <v>380</v>
      </c>
      <c r="R93" s="62" t="s">
        <v>344</v>
      </c>
      <c r="S93" s="63" t="s">
        <v>323</v>
      </c>
      <c r="T93" s="64">
        <v>53406</v>
      </c>
    </row>
    <row r="94" spans="1:20" x14ac:dyDescent="0.35">
      <c r="B94" s="24" t="s">
        <v>126</v>
      </c>
      <c r="C94" s="4" t="s">
        <v>127</v>
      </c>
      <c r="D94" s="22">
        <v>1200</v>
      </c>
      <c r="E94" s="25" t="s">
        <v>35</v>
      </c>
      <c r="F94" s="25">
        <v>1020</v>
      </c>
      <c r="G94" s="13"/>
      <c r="H94" s="26">
        <f>IF(D94="",0,IF(G94&gt;0,0,IF(E94="A",D94,IF(E94="M",D94*12,IF(E94="W",D94*Lookups!C$9,IF(E94="B",D94*+Lookups!C$10,IF(E94="S",D94*2,IF(AND(D94=0,G94&gt;0),G94,"ERROR"))))))))</f>
        <v>1200</v>
      </c>
      <c r="I94" s="22">
        <v>1200</v>
      </c>
      <c r="J94" s="25" t="s">
        <v>35</v>
      </c>
      <c r="K94" s="13"/>
      <c r="L94" s="26">
        <f>IF(I94="",0,IF(K94&gt;0,0,IF(J94="A",I94,IF(J94="M",I94*12,IF(J94="W",I94*Lookups!D$9,IF(J94="B",I94*+Lookups!D$10,IF(J94="S",I94*2,IF(AND(I94=0,K94&gt;0),K94,"ERROR"))))))))</f>
        <v>1200</v>
      </c>
      <c r="M94" s="103">
        <f>IF(OR(AND(L94=0,D94=0),K94&gt;0),"",IF(AND(E94="W",J94="W"),ROUND(L94-(D94*Lookups!$C$9),0),ROUND(+L94-H94,0)))</f>
        <v>0</v>
      </c>
      <c r="N94" s="84" t="str">
        <f t="shared" si="1"/>
        <v>S</v>
      </c>
      <c r="O94" s="97"/>
      <c r="Q94" s="62" t="s">
        <v>381</v>
      </c>
      <c r="R94" s="62" t="s">
        <v>344</v>
      </c>
      <c r="S94" s="63" t="s">
        <v>323</v>
      </c>
      <c r="T94" s="64">
        <v>53402</v>
      </c>
    </row>
    <row r="95" spans="1:20" x14ac:dyDescent="0.35">
      <c r="B95" s="27" t="s">
        <v>244</v>
      </c>
      <c r="C95" s="4" t="s">
        <v>245</v>
      </c>
      <c r="D95" s="22"/>
      <c r="E95" s="25"/>
      <c r="F95" s="25">
        <v>600</v>
      </c>
      <c r="G95" s="13">
        <v>600</v>
      </c>
      <c r="H95" s="26">
        <f>IF(D95="",0,IF(G95&gt;0,0,IF(E95="A",D95,IF(E95="M",D95*12,IF(E95="W",D95*Lookups!C$9,IF(E95="B",D95*+Lookups!C$10,IF(E95="S",D95*2,IF(AND(D95=0,G95&gt;0),G95,"ERROR"))))))))</f>
        <v>0</v>
      </c>
      <c r="I95" s="22"/>
      <c r="J95" s="25"/>
      <c r="K95" s="13">
        <v>600</v>
      </c>
      <c r="L95" s="26">
        <f>IF(I95="",0,IF(K95&gt;0,0,IF(J95="A",I95,IF(J95="M",I95*12,IF(J95="W",I95*Lookups!D$9,IF(J95="B",I95*+Lookups!D$10,IF(J95="S",I95*2,IF(AND(I95=0,K95&gt;0),K95,"ERROR"))))))))</f>
        <v>0</v>
      </c>
      <c r="M95" s="103" t="str">
        <f>IF(OR(AND(L95=0,D95=0),K95&gt;0),"",IF(AND(E95="W",J95="W"),ROUND(L95-(D95*Lookups!$C$9),0),ROUND(+L95-H95,0)))</f>
        <v/>
      </c>
      <c r="N95" s="84" t="str">
        <f t="shared" si="1"/>
        <v>E</v>
      </c>
      <c r="O95" s="97"/>
    </row>
    <row r="96" spans="1:20" x14ac:dyDescent="0.35">
      <c r="B96" s="24" t="s">
        <v>128</v>
      </c>
      <c r="C96" s="4" t="s">
        <v>129</v>
      </c>
      <c r="D96" s="22">
        <v>80</v>
      </c>
      <c r="E96" s="25" t="s">
        <v>39</v>
      </c>
      <c r="F96" s="25">
        <v>785</v>
      </c>
      <c r="G96" s="13"/>
      <c r="H96" s="26">
        <f>IF(D96="",0,IF(G96&gt;0,0,IF(E96="A",D96,IF(E96="M",D96*12,IF(E96="W",D96*Lookups!C$9,IF(E96="B",D96*+Lookups!C$10,IF(E96="S",D96*2,IF(AND(D96=0,G96&gt;0),G96,"ERROR"))))))))</f>
        <v>960</v>
      </c>
      <c r="I96" s="22">
        <v>80</v>
      </c>
      <c r="J96" s="25" t="s">
        <v>39</v>
      </c>
      <c r="K96" s="13"/>
      <c r="L96" s="26">
        <f>IF(I96="",0,IF(K96&gt;0,0,IF(J96="A",I96,IF(J96="M",I96*12,IF(J96="W",I96*Lookups!D$9,IF(J96="B",I96*+Lookups!D$10,IF(J96="S",I96*2,IF(AND(I96=0,K96&gt;0),K96,"ERROR"))))))))</f>
        <v>960</v>
      </c>
      <c r="M96" s="103">
        <f>IF(OR(AND(L96=0,D96=0),K96&gt;0),"",IF(AND(E96="W",J96="W"),ROUND(L96-(D96*Lookups!$C$9),0),ROUND(+L96-H96,0)))</f>
        <v>0</v>
      </c>
      <c r="N96" s="84" t="str">
        <f t="shared" si="1"/>
        <v>S</v>
      </c>
      <c r="O96" s="97"/>
    </row>
    <row r="97" spans="2:21" x14ac:dyDescent="0.35">
      <c r="B97" s="24" t="s">
        <v>581</v>
      </c>
      <c r="C97" s="4" t="s">
        <v>582</v>
      </c>
      <c r="D97" s="22"/>
      <c r="E97" s="25"/>
      <c r="F97" s="25"/>
      <c r="G97" s="13"/>
      <c r="H97" s="26">
        <f>IF(D97="",0,IF(G97&gt;0,0,IF(E97="A",D97,IF(E97="M",D97*12,IF(E97="W",D97*Lookups!C$9,IF(E97="B",D97*+Lookups!C$10,IF(E97="S",D97*2,IF(AND(D97=0,G97&gt;0),G97,"ERROR"))))))))</f>
        <v>0</v>
      </c>
      <c r="I97" s="22">
        <v>100</v>
      </c>
      <c r="J97" s="25" t="s">
        <v>39</v>
      </c>
      <c r="K97" s="13"/>
      <c r="L97" s="26">
        <f>IF(I97="",0,IF(K97&gt;0,0,IF(J97="A",I97,IF(J97="M",I97*12,IF(J97="W",I97*Lookups!D$9,IF(J97="B",I97*+Lookups!D$10,IF(J97="S",I97*2,IF(AND(I97=0,K97&gt;0),K97,"ERROR"))))))))</f>
        <v>1200</v>
      </c>
      <c r="M97" s="103">
        <f>IF(OR(AND(L97=0,D97=0),K97&gt;0),"",IF(AND(E97="W",J97="W"),ROUND(L97-(D97*Lookups!$C$9),0),ROUND(+L97-H97,0)))</f>
        <v>1200</v>
      </c>
      <c r="N97" s="84" t="str">
        <f t="shared" ref="N97" si="7">IF(K97&gt;0,"E",IF(M97="","",IF(M97=0,"S",IF(AND(M97&gt;0,NOT(D97=0)),"I",IF(AND(M97&gt;0,D97=0),"N",IF(M97&lt;0,"D","ERROR"))))))</f>
        <v>N</v>
      </c>
      <c r="O97" s="97"/>
    </row>
    <row r="98" spans="2:21" x14ac:dyDescent="0.35">
      <c r="B98" s="27" t="s">
        <v>130</v>
      </c>
      <c r="C98" s="4" t="s">
        <v>131</v>
      </c>
      <c r="D98" s="22">
        <v>160</v>
      </c>
      <c r="E98" s="25" t="s">
        <v>39</v>
      </c>
      <c r="F98" s="25">
        <v>1545</v>
      </c>
      <c r="G98" s="13"/>
      <c r="H98" s="26">
        <f>IF(D98="",0,IF(G98&gt;0,0,IF(E98="A",D98,IF(E98="M",D98*12,IF(E98="W",D98*Lookups!C$9,IF(E98="B",D98*+Lookups!C$10,IF(E98="S",D98*2,IF(AND(D98=0,G98&gt;0),G98,"ERROR"))))))))</f>
        <v>1920</v>
      </c>
      <c r="I98" s="22">
        <v>37.5</v>
      </c>
      <c r="J98" s="25" t="s">
        <v>38</v>
      </c>
      <c r="K98" s="13"/>
      <c r="L98" s="26">
        <f>IF(I98="",0,IF(K98&gt;0,0,IF(J98="A",I98,IF(J98="M",I98*12,IF(J98="W",I98*Lookups!D$9,IF(J98="B",I98*+Lookups!D$10,IF(J98="S",I98*2,IF(AND(I98=0,K98&gt;0),K98,"ERROR"))))))))</f>
        <v>1950</v>
      </c>
      <c r="M98" s="103">
        <f>IF(OR(AND(L98=0,D98=0),K98&gt;0),"",IF(AND(E98="W",J98="W"),ROUND(L98-(D98*Lookups!$C$9),0),ROUND(+L98-H98,0)))</f>
        <v>30</v>
      </c>
      <c r="N98" s="84" t="str">
        <f t="shared" si="1"/>
        <v>I</v>
      </c>
      <c r="O98" s="97"/>
      <c r="P98" s="61" t="s">
        <v>479</v>
      </c>
      <c r="Q98" s="62" t="s">
        <v>480</v>
      </c>
      <c r="R98" s="62" t="s">
        <v>344</v>
      </c>
      <c r="S98" s="63" t="s">
        <v>323</v>
      </c>
      <c r="T98" s="64">
        <v>53406</v>
      </c>
    </row>
    <row r="99" spans="2:21" x14ac:dyDescent="0.35">
      <c r="B99" s="24" t="s">
        <v>132</v>
      </c>
      <c r="C99" s="4" t="s">
        <v>133</v>
      </c>
      <c r="D99" s="22">
        <v>1500</v>
      </c>
      <c r="E99" s="25" t="s">
        <v>35</v>
      </c>
      <c r="F99" s="25">
        <v>1600</v>
      </c>
      <c r="G99" s="13"/>
      <c r="H99" s="26">
        <f>IF(D99="",0,IF(G99&gt;0,0,IF(E99="A",D99,IF(E99="M",D99*12,IF(E99="W",D99*Lookups!C$9,IF(E99="B",D99*+Lookups!C$10,IF(E99="S",D99*2,IF(AND(D99=0,G99&gt;0),G99,"ERROR"))))))))</f>
        <v>1500</v>
      </c>
      <c r="I99" s="22">
        <v>1600</v>
      </c>
      <c r="J99" s="25" t="s">
        <v>35</v>
      </c>
      <c r="K99" s="13"/>
      <c r="L99" s="26">
        <f>IF(I99="",0,IF(K99&gt;0,0,IF(J99="A",I99,IF(J99="M",I99*12,IF(J99="W",I99*Lookups!D$9,IF(J99="B",I99*+Lookups!D$10,IF(J99="S",I99*2,IF(AND(I99=0,K99&gt;0),K99,"ERROR"))))))))</f>
        <v>1600</v>
      </c>
      <c r="M99" s="103">
        <f>IF(OR(AND(L99=0,D99=0),K99&gt;0),"",IF(AND(E99="W",J99="W"),ROUND(L99-(D99*Lookups!$C$9),0),ROUND(+L99-H99,0)))</f>
        <v>100</v>
      </c>
      <c r="N99" s="84" t="str">
        <f t="shared" si="1"/>
        <v>I</v>
      </c>
      <c r="O99" s="97" t="s">
        <v>555</v>
      </c>
      <c r="Q99" s="62" t="s">
        <v>556</v>
      </c>
      <c r="R99" s="62" t="s">
        <v>344</v>
      </c>
      <c r="S99" s="63" t="s">
        <v>323</v>
      </c>
      <c r="T99" s="64">
        <v>53406</v>
      </c>
    </row>
    <row r="100" spans="2:21" x14ac:dyDescent="0.35">
      <c r="B100" s="27" t="s">
        <v>134</v>
      </c>
      <c r="C100" s="4" t="s">
        <v>539</v>
      </c>
      <c r="D100" s="22"/>
      <c r="E100" s="25"/>
      <c r="F100" s="25">
        <v>4500</v>
      </c>
      <c r="G100" s="13">
        <v>2000</v>
      </c>
      <c r="H100" s="26">
        <f>IF(D100="",0,IF(G100&gt;0,0,IF(E100="A",D100,IF(E100="M",D100*12,IF(E100="W",D100*Lookups!C$9,IF(E100="B",D100*+Lookups!C$10,IF(E100="S",D100*2,IF(AND(D100=0,G100&gt;0),G100,"ERROR"))))))))</f>
        <v>0</v>
      </c>
      <c r="I100" s="22">
        <v>500</v>
      </c>
      <c r="J100" s="25" t="s">
        <v>39</v>
      </c>
      <c r="K100" s="13"/>
      <c r="L100" s="26">
        <f>IF(I100="",0,IF(K100&gt;0,0,IF(J100="A",I100,IF(J100="M",I100*12,IF(J100="W",I100*Lookups!D$9,IF(J100="B",I100*+Lookups!D$10,IF(J100="S",I100*2,IF(AND(I100=0,K100&gt;0),K100,"ERROR"))))))))</f>
        <v>6000</v>
      </c>
      <c r="M100" s="103">
        <f>IF(OR(AND(L100=0,D100=0),K100&gt;0),"",IF(AND(E100="W",J100="W"),ROUND(L100-(D100*Lookups!$C$9),0),ROUND(+L100-H100,0)))</f>
        <v>6000</v>
      </c>
      <c r="N100" s="84" t="str">
        <f t="shared" si="1"/>
        <v>N</v>
      </c>
      <c r="O100" s="97"/>
    </row>
    <row r="101" spans="2:21" x14ac:dyDescent="0.35">
      <c r="B101" s="27" t="s">
        <v>134</v>
      </c>
      <c r="C101" s="4" t="s">
        <v>135</v>
      </c>
      <c r="D101" s="22">
        <v>60</v>
      </c>
      <c r="E101" s="25" t="s">
        <v>38</v>
      </c>
      <c r="F101" s="25">
        <v>2520</v>
      </c>
      <c r="G101" s="13"/>
      <c r="H101" s="26">
        <f>IF(D101="",0,IF(G101&gt;0,0,IF(E101="A",D101,IF(E101="M",D101*12,IF(E101="W",D101*Lookups!C$9,IF(E101="B",D101*+Lookups!C$10,IF(E101="S",D101*2,IF(AND(D101=0,G101&gt;0),G101,"ERROR"))))))))</f>
        <v>3120</v>
      </c>
      <c r="I101" s="22">
        <v>60</v>
      </c>
      <c r="J101" s="25" t="s">
        <v>38</v>
      </c>
      <c r="K101" s="13"/>
      <c r="L101" s="26">
        <f>IF(I101="",0,IF(K101&gt;0,0,IF(J101="A",I101,IF(J101="M",I101*12,IF(J101="W",I101*Lookups!D$9,IF(J101="B",I101*+Lookups!D$10,IF(J101="S",I101*2,IF(AND(I101=0,K101&gt;0),K101,"ERROR"))))))))</f>
        <v>3120</v>
      </c>
      <c r="M101" s="103">
        <f>IF(OR(AND(L101=0,D101=0),K101&gt;0),"",IF(AND(E101="W",J101="W"),ROUND(L101-(D101*Lookups!$C$9),0),ROUND(+L101-H101,0)))</f>
        <v>0</v>
      </c>
      <c r="N101" s="84" t="str">
        <f t="shared" si="1"/>
        <v>S</v>
      </c>
      <c r="O101" s="97"/>
      <c r="Q101" s="62" t="s">
        <v>382</v>
      </c>
      <c r="R101" s="62" t="s">
        <v>344</v>
      </c>
      <c r="S101" s="63" t="s">
        <v>323</v>
      </c>
      <c r="T101" s="64">
        <v>53405</v>
      </c>
    </row>
    <row r="102" spans="2:21" x14ac:dyDescent="0.35">
      <c r="B102" s="27" t="s">
        <v>136</v>
      </c>
      <c r="C102" s="4" t="s">
        <v>96</v>
      </c>
      <c r="D102" s="22">
        <v>2060</v>
      </c>
      <c r="E102" s="25" t="s">
        <v>35</v>
      </c>
      <c r="F102" s="25">
        <v>2060</v>
      </c>
      <c r="G102" s="13"/>
      <c r="H102" s="26">
        <f>IF(D102="",0,IF(G102&gt;0,0,IF(E102="A",D102,IF(E102="M",D102*12,IF(E102="W",D102*Lookups!C$9,IF(E102="B",D102*+Lookups!C$10,IF(E102="S",D102*2,IF(AND(D102=0,G102&gt;0),G102,"ERROR"))))))))</f>
        <v>2060</v>
      </c>
      <c r="I102" s="22">
        <v>5200</v>
      </c>
      <c r="J102" s="25" t="s">
        <v>35</v>
      </c>
      <c r="K102" s="13"/>
      <c r="L102" s="26">
        <f>IF(I102="",0,IF(K102&gt;0,0,IF(J102="A",I102,IF(J102="M",I102*12,IF(J102="W",I102*Lookups!D$9,IF(J102="B",I102*+Lookups!D$10,IF(J102="S",I102*2,IF(AND(I102=0,K102&gt;0),K102,"ERROR"))))))))</f>
        <v>5200</v>
      </c>
      <c r="M102" s="103">
        <f>IF(OR(AND(L102=0,D102=0),K102&gt;0),"",IF(AND(E102="W",J102="W"),ROUND(L102-(D102*Lookups!$C$9),0),ROUND(+L102-H102,0)))</f>
        <v>3140</v>
      </c>
      <c r="N102" s="84" t="str">
        <f t="shared" si="1"/>
        <v>I</v>
      </c>
      <c r="O102" s="105"/>
      <c r="P102" s="61" t="s">
        <v>481</v>
      </c>
      <c r="Q102" s="62" t="s">
        <v>482</v>
      </c>
      <c r="R102" s="62" t="s">
        <v>344</v>
      </c>
      <c r="S102" s="63" t="s">
        <v>323</v>
      </c>
      <c r="T102" s="64">
        <v>53406</v>
      </c>
    </row>
    <row r="103" spans="2:21" x14ac:dyDescent="0.35">
      <c r="B103" s="27" t="s">
        <v>583</v>
      </c>
      <c r="C103" s="4" t="s">
        <v>270</v>
      </c>
      <c r="D103" s="22"/>
      <c r="E103" s="25"/>
      <c r="F103" s="25"/>
      <c r="G103" s="13"/>
      <c r="H103" s="26">
        <f>IF(D103="",0,IF(G103&gt;0,0,IF(E103="A",D103,IF(E103="M",D103*12,IF(E103="W",D103*Lookups!C$9,IF(E103="B",D103*+Lookups!C$10,IF(E103="S",D103*2,IF(AND(D103=0,G103&gt;0),G103,"ERROR"))))))))</f>
        <v>0</v>
      </c>
      <c r="I103" s="22">
        <v>20</v>
      </c>
      <c r="J103" s="25" t="s">
        <v>38</v>
      </c>
      <c r="K103" s="13"/>
      <c r="L103" s="26">
        <f>IF(I103="",0,IF(K103&gt;0,0,IF(J103="A",I103,IF(J103="M",I103*12,IF(J103="W",I103*Lookups!D$9,IF(J103="B",I103*+Lookups!D$10,IF(J103="S",I103*2,IF(AND(I103=0,K103&gt;0),K103,"ERROR"))))))))</f>
        <v>1040</v>
      </c>
      <c r="M103" s="103">
        <f>IF(OR(AND(L103=0,D103=0),K103&gt;0),"",IF(AND(E103="W",J103="W"),ROUND(L103-(D103*Lookups!$C$9),0),ROUND(+L103-H103,0)))</f>
        <v>1040</v>
      </c>
      <c r="N103" s="84" t="str">
        <f t="shared" ref="N103" si="8">IF(K103&gt;0,"E",IF(M103="","",IF(M103=0,"S",IF(AND(M103&gt;0,NOT(D103=0)),"I",IF(AND(M103&gt;0,D103=0),"N",IF(M103&lt;0,"D","ERROR"))))))</f>
        <v>N</v>
      </c>
      <c r="O103" s="105"/>
      <c r="P103" s="61"/>
    </row>
    <row r="104" spans="2:21" x14ac:dyDescent="0.35">
      <c r="B104" s="27" t="s">
        <v>246</v>
      </c>
      <c r="C104" s="4" t="s">
        <v>247</v>
      </c>
      <c r="D104" s="22"/>
      <c r="E104" s="25"/>
      <c r="F104" s="25">
        <v>70</v>
      </c>
      <c r="G104" s="13"/>
      <c r="H104" s="26">
        <f>IF(D104="",0,IF(G104&gt;0,0,IF(E104="A",D104,IF(E104="M",D104*12,IF(E104="W",D104*Lookups!C$9,IF(E104="B",D104*+Lookups!C$10,IF(E104="S",D104*2,IF(AND(D104=0,G104&gt;0),G104,"ERROR"))))))))</f>
        <v>0</v>
      </c>
      <c r="I104" s="22"/>
      <c r="J104" s="25"/>
      <c r="K104" s="13"/>
      <c r="L104" s="26">
        <f>IF(I104="",0,IF(K104&gt;0,0,IF(J104="A",I104,IF(J104="M",I104*12,IF(J104="W",I104*Lookups!D$9,IF(J104="B",I104*+Lookups!D$10,IF(J104="S",I104*2,IF(AND(I104=0,K104&gt;0),K104,"ERROR"))))))))</f>
        <v>0</v>
      </c>
      <c r="M104" s="103" t="str">
        <f>IF(OR(AND(L104=0,D104=0),K104&gt;0),"",IF(AND(E104="W",J104="W"),ROUND(L104-(D104*Lookups!$C$9),0),ROUND(+L104-H104,0)))</f>
        <v/>
      </c>
      <c r="N104" s="84" t="str">
        <f t="shared" si="1"/>
        <v/>
      </c>
      <c r="O104" s="97"/>
    </row>
    <row r="105" spans="2:21" x14ac:dyDescent="0.35">
      <c r="B105" s="27" t="s">
        <v>137</v>
      </c>
      <c r="C105" s="4" t="s">
        <v>138</v>
      </c>
      <c r="D105" s="22">
        <v>50</v>
      </c>
      <c r="E105" s="25" t="s">
        <v>39</v>
      </c>
      <c r="F105" s="25">
        <v>200</v>
      </c>
      <c r="G105" s="13"/>
      <c r="H105" s="26">
        <f>IF(D105="",0,IF(G105&gt;0,0,IF(E105="A",D105,IF(E105="M",D105*12,IF(E105="W",D105*Lookups!C$9,IF(E105="B",D105*+Lookups!C$10,IF(E105="S",D105*2,IF(AND(D105=0,G105&gt;0),G105,"ERROR"))))))))</f>
        <v>600</v>
      </c>
      <c r="I105" s="22">
        <v>600</v>
      </c>
      <c r="J105" s="25" t="s">
        <v>35</v>
      </c>
      <c r="K105" s="13"/>
      <c r="L105" s="26">
        <f>IF(I105="",0,IF(K105&gt;0,0,IF(J105="A",I105,IF(J105="M",I105*12,IF(J105="W",I105*Lookups!D$9,IF(J105="B",I105*+Lookups!D$10,IF(J105="S",I105*2,IF(AND(I105=0,K105&gt;0),K105,"ERROR"))))))))</f>
        <v>600</v>
      </c>
      <c r="M105" s="103">
        <f>IF(OR(AND(L105=0,D105=0),K105&gt;0),"",IF(AND(E105="W",J105="W"),ROUND(L105-(D105*Lookups!$C$9),0),ROUND(+L105-H105,0)))</f>
        <v>0</v>
      </c>
      <c r="N105" s="84" t="str">
        <f t="shared" si="1"/>
        <v>S</v>
      </c>
      <c r="O105" s="97"/>
      <c r="Q105" s="62" t="s">
        <v>483</v>
      </c>
      <c r="R105" s="62" t="s">
        <v>344</v>
      </c>
      <c r="S105" s="63" t="s">
        <v>323</v>
      </c>
      <c r="T105" s="64" t="s">
        <v>484</v>
      </c>
    </row>
    <row r="106" spans="2:21" x14ac:dyDescent="0.35">
      <c r="B106" s="27" t="s">
        <v>139</v>
      </c>
      <c r="C106" s="4" t="s">
        <v>140</v>
      </c>
      <c r="D106" s="22">
        <v>25</v>
      </c>
      <c r="E106" s="25" t="s">
        <v>38</v>
      </c>
      <c r="F106" s="25">
        <v>1180</v>
      </c>
      <c r="G106" s="13"/>
      <c r="H106" s="26">
        <f>IF(D106="",0,IF(G106&gt;0,0,IF(E106="A",D106,IF(E106="M",D106*12,IF(E106="W",D106*Lookups!C$9,IF(E106="B",D106*+Lookups!C$10,IF(E106="S",D106*2,IF(AND(D106=0,G106&gt;0),G106,"ERROR"))))))))</f>
        <v>1300</v>
      </c>
      <c r="I106" s="22">
        <v>25</v>
      </c>
      <c r="J106" s="25" t="s">
        <v>38</v>
      </c>
      <c r="K106" s="13"/>
      <c r="L106" s="26">
        <f>IF(I106="",0,IF(K106&gt;0,0,IF(J106="A",I106,IF(J106="M",I106*12,IF(J106="W",I106*Lookups!D$9,IF(J106="B",I106*+Lookups!D$10,IF(J106="S",I106*2,IF(AND(I106=0,K106&gt;0),K106,"ERROR"))))))))</f>
        <v>1300</v>
      </c>
      <c r="M106" s="103">
        <f>IF(OR(AND(L106=0,D106=0),K106&gt;0),"",IF(AND(E106="W",J106="W"),ROUND(L106-(D106*Lookups!$C$9),0),ROUND(+L106-H106,0)))</f>
        <v>0</v>
      </c>
      <c r="N106" s="84" t="str">
        <f t="shared" si="1"/>
        <v>S</v>
      </c>
      <c r="O106" s="97"/>
      <c r="P106" s="61" t="s">
        <v>485</v>
      </c>
      <c r="Q106" s="62" t="s">
        <v>486</v>
      </c>
      <c r="R106" s="62" t="s">
        <v>344</v>
      </c>
      <c r="S106" s="63" t="s">
        <v>323</v>
      </c>
      <c r="T106" s="64">
        <v>53402</v>
      </c>
    </row>
    <row r="107" spans="2:21" x14ac:dyDescent="0.35">
      <c r="B107" s="27" t="s">
        <v>301</v>
      </c>
      <c r="C107" s="4" t="s">
        <v>302</v>
      </c>
      <c r="D107" s="22"/>
      <c r="E107" s="25"/>
      <c r="F107" s="25">
        <v>20</v>
      </c>
      <c r="G107" s="13"/>
      <c r="H107" s="26">
        <f>IF(D107="",0,IF(G107&gt;0,0,IF(E107="A",D107,IF(E107="M",D107*12,IF(E107="W",D107*Lookups!C$9,IF(E107="B",D107*+Lookups!C$10,IF(E107="S",D107*2,IF(AND(D107=0,G107&gt;0),G107,"ERROR"))))))))</f>
        <v>0</v>
      </c>
      <c r="I107" s="22"/>
      <c r="J107" s="25"/>
      <c r="K107" s="13"/>
      <c r="L107" s="26">
        <f>IF(I107="",0,IF(K107&gt;0,0,IF(J107="A",I107,IF(J107="M",I107*12,IF(J107="W",I107*Lookups!D$9,IF(J107="B",I107*+Lookups!D$10,IF(J107="S",I107*2,IF(AND(I107=0,K107&gt;0),K107,"ERROR"))))))))</f>
        <v>0</v>
      </c>
      <c r="M107" s="103" t="str">
        <f>IF(OR(AND(L107=0,D107=0),K107&gt;0),"",IF(AND(E107="W",J107="W"),ROUND(L107-(D107*Lookups!$C$9),0),ROUND(+L107-H107,0)))</f>
        <v/>
      </c>
      <c r="N107" s="84" t="str">
        <f t="shared" si="1"/>
        <v/>
      </c>
      <c r="O107" s="97"/>
    </row>
    <row r="108" spans="2:21" x14ac:dyDescent="0.35">
      <c r="B108" s="27" t="s">
        <v>141</v>
      </c>
      <c r="C108" s="4" t="s">
        <v>248</v>
      </c>
      <c r="D108" s="22"/>
      <c r="E108" s="25"/>
      <c r="F108" s="25">
        <v>2025</v>
      </c>
      <c r="G108" s="13">
        <v>900</v>
      </c>
      <c r="H108" s="26">
        <f>IF(D108="",0,IF(G108&gt;0,0,IF(E108="A",D108,IF(E108="M",D108*12,IF(E108="W",D108*Lookups!C$9,IF(E108="B",D108*+Lookups!C$10,IF(E108="S",D108*2,IF(AND(D108=0,G108&gt;0),G108,"ERROR"))))))))</f>
        <v>0</v>
      </c>
      <c r="I108" s="22"/>
      <c r="J108" s="25"/>
      <c r="K108" s="13">
        <v>1800</v>
      </c>
      <c r="L108" s="26">
        <f>IF(I108="",0,IF(K108&gt;0,0,IF(J108="A",I108,IF(J108="M",I108*12,IF(J108="W",I108*Lookups!D$9,IF(J108="B",I108*+Lookups!D$10,IF(J108="S",I108*2,IF(AND(I108=0,K108&gt;0),K108,"ERROR"))))))))</f>
        <v>0</v>
      </c>
      <c r="M108" s="103" t="str">
        <f>IF(OR(AND(L108=0,D108=0),K108&gt;0),"",IF(AND(E108="W",J108="W"),ROUND(L108-(D108*Lookups!$C$9),0),ROUND(+L108-H108,0)))</f>
        <v/>
      </c>
      <c r="N108" s="84" t="str">
        <f t="shared" si="1"/>
        <v>E</v>
      </c>
      <c r="O108" s="97"/>
    </row>
    <row r="109" spans="2:21" ht="29" x14ac:dyDescent="0.35">
      <c r="B109" s="24" t="s">
        <v>141</v>
      </c>
      <c r="C109" s="4" t="s">
        <v>142</v>
      </c>
      <c r="D109" s="22">
        <v>150</v>
      </c>
      <c r="E109" s="25" t="s">
        <v>38</v>
      </c>
      <c r="F109" s="25">
        <v>6450</v>
      </c>
      <c r="G109" s="13"/>
      <c r="H109" s="26">
        <f>IF(D109="",0,IF(G109&gt;0,0,IF(E109="A",D109,IF(E109="M",D109*12,IF(E109="W",D109*Lookups!C$9,IF(E109="B",D109*+Lookups!C$10,IF(E109="S",D109*2,IF(AND(D109=0,G109&gt;0),G109,"ERROR"))))))))</f>
        <v>7800</v>
      </c>
      <c r="I109" s="22">
        <v>150</v>
      </c>
      <c r="J109" s="25" t="s">
        <v>38</v>
      </c>
      <c r="K109" s="13"/>
      <c r="L109" s="26">
        <f>IF(I109="",0,IF(K109&gt;0,0,IF(J109="A",I109,IF(J109="M",I109*12,IF(J109="W",I109*Lookups!D$9,IF(J109="B",I109*+Lookups!D$10,IF(J109="S",I109*2,IF(AND(I109=0,K109&gt;0),K109,"ERROR"))))))))</f>
        <v>7800</v>
      </c>
      <c r="M109" s="103">
        <f>IF(OR(AND(L109=0,D109=0),K109&gt;0),"",IF(AND(E109="W",J109="W"),ROUND(L109-(D109*Lookups!$C$9),0),ROUND(+L109-H109,0)))</f>
        <v>0</v>
      </c>
      <c r="N109" s="84" t="str">
        <f t="shared" si="1"/>
        <v>S</v>
      </c>
      <c r="O109" s="100" t="s">
        <v>548</v>
      </c>
      <c r="P109" s="61" t="s">
        <v>383</v>
      </c>
      <c r="Q109" s="62" t="s">
        <v>384</v>
      </c>
      <c r="R109" s="62" t="s">
        <v>385</v>
      </c>
      <c r="S109" s="63" t="s">
        <v>323</v>
      </c>
      <c r="T109" s="64">
        <v>53154</v>
      </c>
      <c r="U109" s="62" t="s">
        <v>423</v>
      </c>
    </row>
    <row r="110" spans="2:21" x14ac:dyDescent="0.35">
      <c r="B110" s="27" t="s">
        <v>249</v>
      </c>
      <c r="C110" s="4" t="s">
        <v>250</v>
      </c>
      <c r="D110" s="22"/>
      <c r="E110" s="25"/>
      <c r="F110" s="25">
        <v>500</v>
      </c>
      <c r="G110" s="13">
        <v>500</v>
      </c>
      <c r="H110" s="26">
        <f>IF(D110="",0,IF(G110&gt;0,0,IF(E110="A",D110,IF(E110="M",D110*12,IF(E110="W",D110*Lookups!C$9,IF(E110="B",D110*+Lookups!C$10,IF(E110="S",D110*2,IF(AND(D110=0,G110&gt;0),G110,"ERROR"))))))))</f>
        <v>0</v>
      </c>
      <c r="I110" s="22"/>
      <c r="J110" s="25"/>
      <c r="K110" s="13">
        <v>400</v>
      </c>
      <c r="L110" s="26">
        <f>IF(I110="",0,IF(K110&gt;0,0,IF(J110="A",I110,IF(J110="M",I110*12,IF(J110="W",I110*Lookups!D$9,IF(J110="B",I110*+Lookups!D$10,IF(J110="S",I110*2,IF(AND(I110=0,K110&gt;0),K110,"ERROR"))))))))</f>
        <v>0</v>
      </c>
      <c r="M110" s="103" t="str">
        <f>IF(OR(AND(L110=0,D110=0),K110&gt;0),"",IF(AND(E110="W",J110="W"),ROUND(L110-(D110*Lookups!$C$9),0),ROUND(+L110-H110,0)))</f>
        <v/>
      </c>
      <c r="N110" s="84" t="str">
        <f t="shared" si="1"/>
        <v>E</v>
      </c>
      <c r="O110" s="100"/>
    </row>
    <row r="111" spans="2:21" x14ac:dyDescent="0.35">
      <c r="B111" s="27" t="s">
        <v>584</v>
      </c>
      <c r="C111" s="4" t="s">
        <v>608</v>
      </c>
      <c r="D111" s="22"/>
      <c r="E111" s="25"/>
      <c r="F111" s="25">
        <v>900</v>
      </c>
      <c r="G111" s="13"/>
      <c r="H111" s="26">
        <f>IF(D111="",0,IF(G111&gt;0,0,IF(E111="A",D111,IF(E111="M",D111*12,IF(E111="W",D111*Lookups!C$9,IF(E111="B",D111*+Lookups!C$10,IF(E111="S",D111*2,IF(AND(D111=0,G111&gt;0),G111,"ERROR"))))))))</f>
        <v>0</v>
      </c>
      <c r="I111" s="22"/>
      <c r="J111" s="25"/>
      <c r="K111" s="13">
        <v>700</v>
      </c>
      <c r="L111" s="26">
        <f>IF(I111="",0,IF(K111&gt;0,0,IF(J111="A",I111,IF(J111="M",I111*12,IF(J111="W",I111*Lookups!D$9,IF(J111="B",I111*+Lookups!D$10,IF(J111="S",I111*2,IF(AND(I111=0,K111&gt;0),K111,"ERROR"))))))))</f>
        <v>0</v>
      </c>
      <c r="M111" s="103" t="str">
        <f>IF(OR(AND(L111=0,D111=0),K111&gt;0),"",IF(AND(E111="W",J111="W"),ROUND(L111-(D111*Lookups!$C$9),0),ROUND(+L111-H111,0)))</f>
        <v/>
      </c>
      <c r="N111" s="84" t="str">
        <f t="shared" si="1"/>
        <v>E</v>
      </c>
      <c r="O111" s="97"/>
    </row>
    <row r="112" spans="2:21" x14ac:dyDescent="0.35">
      <c r="B112" s="27" t="s">
        <v>584</v>
      </c>
      <c r="C112" s="4" t="s">
        <v>585</v>
      </c>
      <c r="D112" s="22"/>
      <c r="E112" s="25"/>
      <c r="F112" s="25">
        <v>225</v>
      </c>
      <c r="G112" s="13"/>
      <c r="H112" s="26">
        <f>IF(D112="",0,IF(G112&gt;0,0,IF(E112="A",D112,IF(E112="M",D112*12,IF(E112="W",D112*Lookups!C$9,IF(E112="B",D112*+Lookups!C$10,IF(E112="S",D112*2,IF(AND(D112=0,G112&gt;0),G112,"ERROR"))))))))</f>
        <v>0</v>
      </c>
      <c r="I112" s="22">
        <v>30</v>
      </c>
      <c r="J112" s="25" t="s">
        <v>39</v>
      </c>
      <c r="K112" s="13"/>
      <c r="L112" s="26">
        <f>IF(I112="",0,IF(K112&gt;0,0,IF(J112="A",I112,IF(J112="M",I112*12,IF(J112="W",I112*Lookups!D$9,IF(J112="B",I112*+Lookups!D$10,IF(J112="S",I112*2,IF(AND(I112=0,K112&gt;0),K112,"ERROR"))))))))</f>
        <v>360</v>
      </c>
      <c r="M112" s="103">
        <f>IF(OR(AND(L112=0,D112=0),K112&gt;0),"",IF(AND(E112="W",J112="W"),ROUND(L112-(D112*Lookups!$C$9),0),ROUND(+L112-H112,0)))</f>
        <v>360</v>
      </c>
      <c r="N112" s="84" t="str">
        <f t="shared" ref="N112" si="9">IF(K112&gt;0,"E",IF(M112="","",IF(M112=0,"S",IF(AND(M112&gt;0,NOT(D112=0)),"I",IF(AND(M112&gt;0,D112=0),"N",IF(M112&lt;0,"D","ERROR"))))))</f>
        <v>N</v>
      </c>
      <c r="O112" s="97"/>
    </row>
    <row r="113" spans="2:20" x14ac:dyDescent="0.35">
      <c r="B113" s="27" t="s">
        <v>303</v>
      </c>
      <c r="C113" s="4" t="s">
        <v>25</v>
      </c>
      <c r="D113" s="22">
        <v>75</v>
      </c>
      <c r="E113" s="25" t="s">
        <v>39</v>
      </c>
      <c r="F113" s="25">
        <v>750</v>
      </c>
      <c r="G113" s="13"/>
      <c r="H113" s="26">
        <f>IF(D113="",0,IF(G113&gt;0,0,IF(E113="A",D113,IF(E113="M",D113*12,IF(E113="W",D113*Lookups!C$9,IF(E113="B",D113*+Lookups!C$10,IF(E113="S",D113*2,IF(AND(D113=0,G113&gt;0),G113,"ERROR"))))))))</f>
        <v>900</v>
      </c>
      <c r="I113" s="22">
        <v>80</v>
      </c>
      <c r="J113" s="25" t="s">
        <v>39</v>
      </c>
      <c r="K113" s="13"/>
      <c r="L113" s="26">
        <f>IF(I113="",0,IF(K113&gt;0,0,IF(J113="A",I113,IF(J113="M",I113*12,IF(J113="W",I113*Lookups!D$9,IF(J113="B",I113*+Lookups!D$10,IF(J113="S",I113*2,IF(AND(I113=0,K113&gt;0),K113,"ERROR"))))))))</f>
        <v>960</v>
      </c>
      <c r="M113" s="103">
        <f>IF(OR(AND(L113=0,D113=0),K113&gt;0),"",IF(AND(E113="W",J113="W"),ROUND(L113-(D113*Lookups!$C$9),0),ROUND(+L113-H113,0)))</f>
        <v>60</v>
      </c>
      <c r="N113" s="84" t="str">
        <f t="shared" si="1"/>
        <v>I</v>
      </c>
      <c r="O113" s="97"/>
      <c r="P113" s="61" t="s">
        <v>487</v>
      </c>
      <c r="Q113" s="62" t="s">
        <v>488</v>
      </c>
      <c r="R113" s="62" t="s">
        <v>475</v>
      </c>
      <c r="S113" s="63" t="s">
        <v>323</v>
      </c>
      <c r="T113" s="64">
        <v>53406</v>
      </c>
    </row>
    <row r="114" spans="2:20" x14ac:dyDescent="0.35">
      <c r="B114" s="27" t="s">
        <v>303</v>
      </c>
      <c r="C114" s="4" t="s">
        <v>262</v>
      </c>
      <c r="D114" s="22">
        <v>500</v>
      </c>
      <c r="E114" s="25" t="s">
        <v>39</v>
      </c>
      <c r="F114" s="25">
        <v>5050</v>
      </c>
      <c r="G114" s="13"/>
      <c r="H114" s="26">
        <f>IF(D114="",0,IF(G114&gt;0,0,IF(E114="A",D114,IF(E114="M",D114*12,IF(E114="W",D114*Lookups!C$9,IF(E114="B",D114*+Lookups!C$10,IF(E114="S",D114*2,IF(AND(D114=0,G114&gt;0),G114,"ERROR"))))))))</f>
        <v>6000</v>
      </c>
      <c r="I114" s="22">
        <v>550</v>
      </c>
      <c r="J114" s="25" t="s">
        <v>39</v>
      </c>
      <c r="K114" s="13"/>
      <c r="L114" s="26">
        <f>IF(I114="",0,IF(K114&gt;0,0,IF(J114="A",I114,IF(J114="M",I114*12,IF(J114="W",I114*Lookups!D$9,IF(J114="B",I114*+Lookups!D$10,IF(J114="S",I114*2,IF(AND(I114=0,K114&gt;0),K114,"ERROR"))))))))</f>
        <v>6600</v>
      </c>
      <c r="M114" s="103">
        <f>IF(OR(AND(L114=0,D114=0),K114&gt;0),"",IF(AND(E114="W",J114="W"),ROUND(L114-(D114*Lookups!$C$9),0),ROUND(+L114-H114,0)))</f>
        <v>600</v>
      </c>
      <c r="N114" s="84" t="str">
        <f t="shared" si="1"/>
        <v>I</v>
      </c>
      <c r="O114" s="97"/>
      <c r="P114" s="61" t="s">
        <v>489</v>
      </c>
      <c r="Q114" s="62" t="s">
        <v>490</v>
      </c>
      <c r="R114" s="62" t="s">
        <v>344</v>
      </c>
      <c r="S114" s="63" t="s">
        <v>323</v>
      </c>
      <c r="T114" s="64">
        <v>53403</v>
      </c>
    </row>
    <row r="115" spans="2:20" x14ac:dyDescent="0.35">
      <c r="B115" s="24" t="s">
        <v>251</v>
      </c>
      <c r="C115" s="4" t="s">
        <v>252</v>
      </c>
      <c r="D115" s="22"/>
      <c r="E115" s="25"/>
      <c r="F115" s="25">
        <v>3600</v>
      </c>
      <c r="G115" s="13">
        <v>2500</v>
      </c>
      <c r="H115" s="26">
        <f>IF(D115="",0,IF(G115&gt;0,0,IF(E115="A",D115,IF(E115="M",D115*12,IF(E115="W",D115*Lookups!C$9,IF(E115="B",D115*+Lookups!C$10,IF(E115="S",D115*2,IF(AND(D115=0,G115&gt;0),G115,"ERROR"))))))))</f>
        <v>0</v>
      </c>
      <c r="I115" s="22"/>
      <c r="J115" s="25"/>
      <c r="K115" s="13">
        <v>3000</v>
      </c>
      <c r="L115" s="26">
        <f>IF(I115="",0,IF(K115&gt;0,0,IF(J115="A",I115,IF(J115="M",I115*12,IF(J115="W",I115*Lookups!D$9,IF(J115="B",I115*+Lookups!D$10,IF(J115="S",I115*2,IF(AND(I115=0,K115&gt;0),K115,"ERROR"))))))))</f>
        <v>0</v>
      </c>
      <c r="M115" s="103" t="str">
        <f>IF(OR(AND(L115=0,D115=0),K115&gt;0),"",IF(AND(E115="W",J115="W"),ROUND(L115-(D115*Lookups!$C$9),0),ROUND(+L115-H115,0)))</f>
        <v/>
      </c>
      <c r="N115" s="84" t="str">
        <f t="shared" si="1"/>
        <v>E</v>
      </c>
      <c r="O115" s="97"/>
    </row>
    <row r="116" spans="2:20" x14ac:dyDescent="0.35">
      <c r="B116" s="24" t="s">
        <v>586</v>
      </c>
      <c r="C116" s="4" t="s">
        <v>587</v>
      </c>
      <c r="D116" s="22"/>
      <c r="E116" s="25"/>
      <c r="F116" s="25">
        <v>3700</v>
      </c>
      <c r="G116" s="13"/>
      <c r="H116" s="26">
        <f>IF(D116="",0,IF(G116&gt;0,0,IF(E116="A",D116,IF(E116="M",D116*12,IF(E116="W",D116*Lookups!C$9,IF(E116="B",D116*+Lookups!C$10,IF(E116="S",D116*2,IF(AND(D116=0,G116&gt;0),G116,"ERROR"))))))))</f>
        <v>0</v>
      </c>
      <c r="I116" s="22">
        <v>100</v>
      </c>
      <c r="J116" s="25" t="s">
        <v>38</v>
      </c>
      <c r="K116" s="13"/>
      <c r="L116" s="26">
        <f>IF(I116="",0,IF(K116&gt;0,0,IF(J116="A",I116,IF(J116="M",I116*12,IF(J116="W",I116*Lookups!D$9,IF(J116="B",I116*+Lookups!D$10,IF(J116="S",I116*2,IF(AND(I116=0,K116&gt;0),K116,"ERROR"))))))))</f>
        <v>5200</v>
      </c>
      <c r="M116" s="103">
        <f>IF(OR(AND(L116=0,D116=0),K116&gt;0),"",IF(AND(E116="W",J116="W"),ROUND(L116-(D116*Lookups!$C$9),0),ROUND(+L116-H116,0)))</f>
        <v>5200</v>
      </c>
      <c r="N116" s="84" t="str">
        <f t="shared" ref="N116" si="10">IF(K116&gt;0,"E",IF(M116="","",IF(M116=0,"S",IF(AND(M116&gt;0,NOT(D116=0)),"I",IF(AND(M116&gt;0,D116=0),"N",IF(M116&lt;0,"D","ERROR"))))))</f>
        <v>N</v>
      </c>
      <c r="O116" s="97"/>
    </row>
    <row r="117" spans="2:20" x14ac:dyDescent="0.35">
      <c r="B117" s="27" t="s">
        <v>144</v>
      </c>
      <c r="C117" s="4" t="s">
        <v>145</v>
      </c>
      <c r="D117" s="22"/>
      <c r="E117" s="25"/>
      <c r="F117" s="25">
        <v>3340</v>
      </c>
      <c r="G117" s="13">
        <v>4000</v>
      </c>
      <c r="H117" s="26">
        <f>IF(D117="",0,IF(G117&gt;0,0,IF(E117="A",D117,IF(E117="M",D117*12,IF(E117="W",D117*Lookups!C$9,IF(E117="B",D117*+Lookups!C$10,IF(E117="S",D117*2,IF(AND(D117=0,G117&gt;0),G117,"ERROR"))))))))</f>
        <v>0</v>
      </c>
      <c r="I117" s="22"/>
      <c r="J117" s="25"/>
      <c r="K117" s="13">
        <v>3000</v>
      </c>
      <c r="L117" s="26">
        <f>IF(I117="",0,IF(K117&gt;0,0,IF(J117="A",I117,IF(J117="M",I117*12,IF(J117="W",I117*Lookups!D$9,IF(J117="B",I117*+Lookups!D$10,IF(J117="S",I117*2,IF(AND(I117=0,K117&gt;0),K117,"ERROR"))))))))</f>
        <v>0</v>
      </c>
      <c r="M117" s="103" t="str">
        <f>IF(OR(AND(L117=0,D117=0),K117&gt;0),"",IF(AND(E117="W",J117="W"),ROUND(L117-(D117*Lookups!$C$9),0),ROUND(+L117-H117,0)))</f>
        <v/>
      </c>
      <c r="N117" s="84" t="str">
        <f t="shared" si="1"/>
        <v>E</v>
      </c>
      <c r="O117" s="97"/>
    </row>
    <row r="118" spans="2:20" x14ac:dyDescent="0.35">
      <c r="B118" s="27" t="s">
        <v>304</v>
      </c>
      <c r="C118" s="4" t="s">
        <v>305</v>
      </c>
      <c r="D118" s="22">
        <v>100</v>
      </c>
      <c r="E118" s="25" t="s">
        <v>39</v>
      </c>
      <c r="F118" s="25">
        <v>1000</v>
      </c>
      <c r="G118" s="13"/>
      <c r="H118" s="26">
        <f>IF(D118="",0,IF(G118&gt;0,0,IF(E118="A",D118,IF(E118="M",D118*12,IF(E118="W",D118*Lookups!C$9,IF(E118="B",D118*+Lookups!C$10,IF(E118="S",D118*2,IF(AND(D118=0,G118&gt;0),G118,"ERROR"))))))))</f>
        <v>1200</v>
      </c>
      <c r="I118" s="22"/>
      <c r="J118" s="25"/>
      <c r="K118" s="13">
        <v>800</v>
      </c>
      <c r="L118" s="26">
        <f>IF(I118="",0,IF(K118&gt;0,0,IF(J118="A",I118,IF(J118="M",I118*12,IF(J118="W",I118*Lookups!D$9,IF(J118="B",I118*+Lookups!D$10,IF(J118="S",I118*2,IF(AND(I118=0,K118&gt;0),K118,"ERROR"))))))))</f>
        <v>0</v>
      </c>
      <c r="M118" s="103" t="str">
        <f>IF(OR(AND(L118=0,D118=0),K118&gt;0),"",IF(AND(E118="W",J118="W"),ROUND(L118-(D118*Lookups!$C$9),0),ROUND(+L118-H118,0)))</f>
        <v/>
      </c>
      <c r="N118" s="84" t="str">
        <f t="shared" si="1"/>
        <v>E</v>
      </c>
      <c r="O118" s="97"/>
      <c r="P118" s="61" t="s">
        <v>386</v>
      </c>
      <c r="Q118" s="62" t="s">
        <v>387</v>
      </c>
      <c r="R118" s="62" t="s">
        <v>344</v>
      </c>
      <c r="S118" s="63" t="s">
        <v>323</v>
      </c>
      <c r="T118" s="64">
        <v>53402</v>
      </c>
    </row>
    <row r="119" spans="2:20" x14ac:dyDescent="0.35">
      <c r="B119" s="27" t="s">
        <v>146</v>
      </c>
      <c r="C119" s="4" t="s">
        <v>147</v>
      </c>
      <c r="D119" s="22">
        <v>340</v>
      </c>
      <c r="E119" s="25" t="s">
        <v>39</v>
      </c>
      <c r="F119" s="25">
        <v>2970</v>
      </c>
      <c r="G119" s="13"/>
      <c r="H119" s="26">
        <f>IF(D119="",0,IF(G119&gt;0,0,IF(E119="A",D119,IF(E119="M",D119*12,IF(E119="W",D119*Lookups!C$9,IF(E119="B",D119*+Lookups!C$10,IF(E119="S",D119*2,IF(AND(D119=0,G119&gt;0),G119,"ERROR"))))))))</f>
        <v>4080</v>
      </c>
      <c r="I119" s="22">
        <v>350</v>
      </c>
      <c r="J119" s="25" t="s">
        <v>39</v>
      </c>
      <c r="K119" s="13"/>
      <c r="L119" s="26">
        <f>IF(I119="",0,IF(K119&gt;0,0,IF(J119="A",I119,IF(J119="M",I119*12,IF(J119="W",I119*Lookups!D$9,IF(J119="B",I119*+Lookups!D$10,IF(J119="S",I119*2,IF(AND(I119=0,K119&gt;0),K119,"ERROR"))))))))</f>
        <v>4200</v>
      </c>
      <c r="M119" s="103">
        <f>IF(OR(AND(L119=0,D119=0),K119&gt;0),"",IF(AND(E119="W",J119="W"),ROUND(L119-(D119*Lookups!$C$9),0),ROUND(+L119-H119,0)))</f>
        <v>120</v>
      </c>
      <c r="N119" s="84" t="str">
        <f t="shared" si="1"/>
        <v>I</v>
      </c>
      <c r="O119" s="97"/>
      <c r="P119" s="61" t="s">
        <v>388</v>
      </c>
      <c r="Q119" s="62" t="s">
        <v>389</v>
      </c>
      <c r="R119" s="62" t="s">
        <v>344</v>
      </c>
      <c r="S119" s="63" t="s">
        <v>323</v>
      </c>
      <c r="T119" s="64" t="s">
        <v>491</v>
      </c>
    </row>
    <row r="120" spans="2:20" x14ac:dyDescent="0.35">
      <c r="B120" s="27" t="s">
        <v>148</v>
      </c>
      <c r="C120" s="4" t="s">
        <v>262</v>
      </c>
      <c r="D120" s="22">
        <v>20</v>
      </c>
      <c r="E120" s="25" t="s">
        <v>38</v>
      </c>
      <c r="F120" s="25">
        <v>860</v>
      </c>
      <c r="G120" s="13"/>
      <c r="H120" s="26">
        <f>IF(D120="",0,IF(G120&gt;0,0,IF(E120="A",D120,IF(E120="M",D120*12,IF(E120="W",D120*Lookups!C$9,IF(E120="B",D120*+Lookups!C$10,IF(E120="S",D120*2,IF(AND(D120=0,G120&gt;0),G120,"ERROR"))))))))</f>
        <v>1040</v>
      </c>
      <c r="I120" s="22">
        <v>20</v>
      </c>
      <c r="J120" s="25" t="s">
        <v>38</v>
      </c>
      <c r="K120" s="13"/>
      <c r="L120" s="26">
        <f>IF(I120="",0,IF(K120&gt;0,0,IF(J120="A",I120,IF(J120="M",I120*12,IF(J120="W",I120*Lookups!D$9,IF(J120="B",I120*+Lookups!D$10,IF(J120="S",I120*2,IF(AND(I120=0,K120&gt;0),K120,"ERROR"))))))))</f>
        <v>1040</v>
      </c>
      <c r="M120" s="103">
        <f>IF(OR(AND(L120=0,D120=0),K120&gt;0),"",IF(AND(E120="W",J120="W"),ROUND(L120-(D120*Lookups!$C$9),0),ROUND(+L120-H120,0)))</f>
        <v>0</v>
      </c>
      <c r="N120" s="84" t="str">
        <f t="shared" ref="N120:N173" si="11">IF(K120&gt;0,"E",IF(M120="","",IF(M120=0,"S",IF(AND(M120&gt;0,NOT(D120=0)),"I",IF(AND(M120&gt;0,D120=0),"N",IF(M120&lt;0,"D","ERROR"))))))</f>
        <v>S</v>
      </c>
      <c r="O120" s="97"/>
      <c r="P120" s="61" t="s">
        <v>390</v>
      </c>
      <c r="Q120" s="62" t="s">
        <v>391</v>
      </c>
      <c r="R120" s="62" t="s">
        <v>328</v>
      </c>
      <c r="S120" s="63" t="s">
        <v>323</v>
      </c>
      <c r="T120" s="64">
        <v>53126</v>
      </c>
    </row>
    <row r="121" spans="2:20" x14ac:dyDescent="0.35">
      <c r="B121" s="27" t="s">
        <v>540</v>
      </c>
      <c r="C121" s="4" t="s">
        <v>541</v>
      </c>
      <c r="D121" s="22"/>
      <c r="E121" s="25"/>
      <c r="F121" s="25">
        <v>100</v>
      </c>
      <c r="G121" s="13"/>
      <c r="H121" s="26">
        <f>IF(D121="",0,IF(G121&gt;0,0,IF(E121="A",D121,IF(E121="M",D121*12,IF(E121="W",D121*Lookups!C$9,IF(E121="B",D121*+Lookups!C$10,IF(E121="S",D121*2,IF(AND(D121=0,G121&gt;0),G121,"ERROR"))))))))</f>
        <v>0</v>
      </c>
      <c r="I121" s="22"/>
      <c r="J121" s="25"/>
      <c r="K121" s="13"/>
      <c r="L121" s="26">
        <f>IF(I121="",0,IF(K121&gt;0,0,IF(J121="A",I121,IF(J121="M",I121*12,IF(J121="W",I121*Lookups!D$9,IF(J121="B",I121*+Lookups!D$10,IF(J121="S",I121*2,IF(AND(I121=0,K121&gt;0),K121,"ERROR"))))))))</f>
        <v>0</v>
      </c>
      <c r="M121" s="103" t="str">
        <f>IF(OR(AND(L121=0,D121=0),K121&gt;0),"",IF(AND(E121="W",J121="W"),ROUND(L121-(D121*Lookups!$C$9),0),ROUND(+L121-H121,0)))</f>
        <v/>
      </c>
      <c r="N121" s="84" t="str">
        <f t="shared" si="11"/>
        <v/>
      </c>
      <c r="O121" s="97"/>
      <c r="P121" s="61"/>
    </row>
    <row r="122" spans="2:20" x14ac:dyDescent="0.35">
      <c r="B122" s="27" t="s">
        <v>149</v>
      </c>
      <c r="C122" s="4" t="s">
        <v>150</v>
      </c>
      <c r="D122" s="22">
        <v>9</v>
      </c>
      <c r="E122" s="25" t="s">
        <v>38</v>
      </c>
      <c r="F122" s="25"/>
      <c r="G122" s="13"/>
      <c r="H122" s="26">
        <f>IF(D122="",0,IF(G122&gt;0,0,IF(E122="A",D122,IF(E122="M",D122*12,IF(E122="W",D122*Lookups!C$9,IF(E122="B",D122*+Lookups!C$10,IF(E122="S",D122*2,IF(AND(D122=0,G122&gt;0),G122,"ERROR"))))))))</f>
        <v>468</v>
      </c>
      <c r="I122" s="22">
        <v>9</v>
      </c>
      <c r="J122" s="25" t="s">
        <v>38</v>
      </c>
      <c r="K122" s="13"/>
      <c r="L122" s="26">
        <f>IF(I122="",0,IF(K122&gt;0,0,IF(J122="A",I122,IF(J122="M",I122*12,IF(J122="W",I122*Lookups!D$9,IF(J122="B",I122*+Lookups!D$10,IF(J122="S",I122*2,IF(AND(I122=0,K122&gt;0),K122,"ERROR"))))))))</f>
        <v>468</v>
      </c>
      <c r="M122" s="103">
        <f>IF(OR(AND(L122=0,D122=0),K122&gt;0),"",IF(AND(E122="W",J122="W"),ROUND(L122-(D122*Lookups!$C$9),0),ROUND(+L122-H122,0)))</f>
        <v>0</v>
      </c>
      <c r="N122" s="84" t="str">
        <f t="shared" si="11"/>
        <v>S</v>
      </c>
      <c r="O122" s="97"/>
      <c r="P122" s="61" t="s">
        <v>392</v>
      </c>
      <c r="Q122" s="62" t="s">
        <v>393</v>
      </c>
      <c r="R122" s="62" t="s">
        <v>344</v>
      </c>
      <c r="S122" s="63" t="s">
        <v>323</v>
      </c>
      <c r="T122" s="64">
        <v>53406</v>
      </c>
    </row>
    <row r="123" spans="2:20" ht="29" x14ac:dyDescent="0.35">
      <c r="B123" s="24" t="s">
        <v>151</v>
      </c>
      <c r="C123" s="4" t="s">
        <v>152</v>
      </c>
      <c r="D123" s="22">
        <v>300</v>
      </c>
      <c r="E123" s="25" t="s">
        <v>39</v>
      </c>
      <c r="F123" s="25">
        <v>3000</v>
      </c>
      <c r="G123" s="13"/>
      <c r="H123" s="26">
        <f>IF(D123="",0,IF(G123&gt;0,0,IF(E123="A",D123,IF(E123="M",D123*12,IF(E123="W",D123*Lookups!C$9,IF(E123="B",D123*+Lookups!C$10,IF(E123="S",D123*2,IF(AND(D123=0,G123&gt;0),G123,"ERROR"))))))))</f>
        <v>3600</v>
      </c>
      <c r="I123" s="22">
        <v>300</v>
      </c>
      <c r="J123" s="25" t="s">
        <v>39</v>
      </c>
      <c r="K123" s="13"/>
      <c r="L123" s="26">
        <f>IF(I123="",0,IF(K123&gt;0,0,IF(J123="A",I123,IF(J123="M",I123*12,IF(J123="W",I123*Lookups!D$9,IF(J123="B",I123*+Lookups!D$10,IF(J123="S",I123*2,IF(AND(I123=0,K123&gt;0),K123,"ERROR"))))))))</f>
        <v>3600</v>
      </c>
      <c r="M123" s="103">
        <f>IF(OR(AND(L123=0,D123=0),K123&gt;0),"",IF(AND(E123="W",J123="W"),ROUND(L123-(D123*Lookups!$C$9),0),ROUND(+L123-H123,0)))</f>
        <v>0</v>
      </c>
      <c r="N123" s="84" t="str">
        <f t="shared" si="11"/>
        <v>S</v>
      </c>
      <c r="O123" s="100" t="s">
        <v>494</v>
      </c>
      <c r="P123" s="61" t="s">
        <v>492</v>
      </c>
      <c r="Q123" s="62" t="s">
        <v>493</v>
      </c>
      <c r="R123" s="62" t="s">
        <v>344</v>
      </c>
      <c r="S123" s="63" t="s">
        <v>323</v>
      </c>
      <c r="T123" s="64">
        <v>53405</v>
      </c>
    </row>
    <row r="124" spans="2:20" x14ac:dyDescent="0.35">
      <c r="B124" s="27" t="s">
        <v>153</v>
      </c>
      <c r="C124" s="4" t="s">
        <v>394</v>
      </c>
      <c r="D124" s="22">
        <v>430</v>
      </c>
      <c r="E124" s="25" t="s">
        <v>39</v>
      </c>
      <c r="F124" s="25">
        <v>4345</v>
      </c>
      <c r="G124" s="13"/>
      <c r="H124" s="26">
        <f>IF(D124="",0,IF(G124&gt;0,0,IF(E124="A",D124,IF(E124="M",D124*12,IF(E124="W",D124*Lookups!C$9,IF(E124="B",D124*+Lookups!C$10,IF(E124="S",D124*2,IF(AND(D124=0,G124&gt;0),G124,"ERROR"))))))))</f>
        <v>5160</v>
      </c>
      <c r="I124" s="22">
        <v>430</v>
      </c>
      <c r="J124" s="25" t="s">
        <v>39</v>
      </c>
      <c r="K124" s="13"/>
      <c r="L124" s="26">
        <f>IF(I124="",0,IF(K124&gt;0,0,IF(J124="A",I124,IF(J124="M",I124*12,IF(J124="W",I124*Lookups!D$9,IF(J124="B",I124*+Lookups!D$10,IF(J124="S",I124*2,IF(AND(I124=0,K124&gt;0),K124,"ERROR"))))))))</f>
        <v>5160</v>
      </c>
      <c r="M124" s="103">
        <f>IF(OR(AND(L124=0,D124=0),K124&gt;0),"",IF(AND(E124="W",J124="W"),ROUND(L124-(D124*Lookups!$C$9),0),ROUND(+L124-H124,0)))</f>
        <v>0</v>
      </c>
      <c r="N124" s="84" t="str">
        <f t="shared" si="11"/>
        <v>S</v>
      </c>
      <c r="O124" s="97"/>
      <c r="P124" s="61" t="s">
        <v>395</v>
      </c>
      <c r="Q124" s="62" t="s">
        <v>396</v>
      </c>
      <c r="R124" s="62" t="s">
        <v>338</v>
      </c>
      <c r="S124" s="63" t="s">
        <v>323</v>
      </c>
      <c r="T124" s="64">
        <v>53108</v>
      </c>
    </row>
    <row r="125" spans="2:20" x14ac:dyDescent="0.35">
      <c r="B125" s="27" t="s">
        <v>588</v>
      </c>
      <c r="C125" s="4" t="s">
        <v>589</v>
      </c>
      <c r="D125" s="22"/>
      <c r="E125" s="25"/>
      <c r="F125" s="25">
        <v>2500</v>
      </c>
      <c r="G125" s="13"/>
      <c r="H125" s="26">
        <f>IF(D125="",0,IF(G125&gt;0,0,IF(E125="A",D125,IF(E125="M",D125*12,IF(E125="W",D125*Lookups!C$9,IF(E125="B",D125*+Lookups!C$10,IF(E125="S",D125*2,IF(AND(D125=0,G125&gt;0),G125,"ERROR"))))))))</f>
        <v>0</v>
      </c>
      <c r="I125" s="22">
        <v>300</v>
      </c>
      <c r="J125" s="25" t="s">
        <v>39</v>
      </c>
      <c r="K125" s="13"/>
      <c r="L125" s="26">
        <f>IF(I125="",0,IF(K125&gt;0,0,IF(J125="A",I125,IF(J125="M",I125*12,IF(J125="W",I125*Lookups!D$9,IF(J125="B",I125*+Lookups!D$10,IF(J125="S",I125*2,IF(AND(I125=0,K125&gt;0),K125,"ERROR"))))))))</f>
        <v>3600</v>
      </c>
      <c r="M125" s="103">
        <f>IF(OR(AND(L125=0,D125=0),K125&gt;0),"",IF(AND(E125="W",J125="W"),ROUND(L125-(D125*Lookups!$C$9),0),ROUND(+L125-H125,0)))</f>
        <v>3600</v>
      </c>
      <c r="N125" s="84" t="str">
        <f t="shared" ref="N125" si="12">IF(K125&gt;0,"E",IF(M125="","",IF(M125=0,"S",IF(AND(M125&gt;0,NOT(D125=0)),"I",IF(AND(M125&gt;0,D125=0),"N",IF(M125&lt;0,"D","ERROR"))))))</f>
        <v>N</v>
      </c>
      <c r="O125" s="97"/>
    </row>
    <row r="126" spans="2:20" x14ac:dyDescent="0.35">
      <c r="B126" s="24" t="s">
        <v>253</v>
      </c>
      <c r="C126" s="4" t="s">
        <v>254</v>
      </c>
      <c r="D126" s="22"/>
      <c r="E126" s="25"/>
      <c r="F126" s="25">
        <v>4000</v>
      </c>
      <c r="G126" s="13">
        <v>5000</v>
      </c>
      <c r="H126" s="26">
        <f>IF(D126="",0,IF(G126&gt;0,0,IF(E126="A",D126,IF(E126="M",D126*12,IF(E126="W",D126*Lookups!C$9,IF(E126="B",D126*+Lookups!C$10,IF(E126="S",D126*2,IF(AND(D126=0,G126&gt;0),G126,"ERROR"))))))))</f>
        <v>0</v>
      </c>
      <c r="I126" s="22"/>
      <c r="J126" s="25"/>
      <c r="K126" s="13">
        <v>3500</v>
      </c>
      <c r="L126" s="26">
        <f>IF(I126="",0,IF(K126&gt;0,0,IF(J126="A",I126,IF(J126="M",I126*12,IF(J126="W",I126*Lookups!D$9,IF(J126="B",I126*+Lookups!D$10,IF(J126="S",I126*2,IF(AND(I126=0,K126&gt;0),K126,"ERROR"))))))))</f>
        <v>0</v>
      </c>
      <c r="M126" s="103" t="str">
        <f>IF(OR(AND(L126=0,D126=0),K126&gt;0),"",IF(AND(E126="W",J126="W"),ROUND(L126-(D126*Lookups!$C$9),0),ROUND(+L126-H126,0)))</f>
        <v/>
      </c>
      <c r="N126" s="84" t="str">
        <f t="shared" si="11"/>
        <v>E</v>
      </c>
      <c r="O126" s="97"/>
      <c r="P126" s="66" t="s">
        <v>320</v>
      </c>
      <c r="Q126" s="62" t="s">
        <v>321</v>
      </c>
      <c r="R126" s="62" t="s">
        <v>322</v>
      </c>
      <c r="S126" s="63" t="s">
        <v>323</v>
      </c>
      <c r="T126" s="64">
        <v>53406</v>
      </c>
    </row>
    <row r="127" spans="2:20" x14ac:dyDescent="0.35">
      <c r="B127" s="27" t="s">
        <v>255</v>
      </c>
      <c r="C127" s="4" t="s">
        <v>256</v>
      </c>
      <c r="D127" s="22"/>
      <c r="E127" s="25"/>
      <c r="F127" s="25">
        <v>150</v>
      </c>
      <c r="G127" s="13"/>
      <c r="H127" s="26">
        <f>IF(D127="",0,IF(G127&gt;0,0,IF(E127="A",D127,IF(E127="M",D127*12,IF(E127="W",D127*Lookups!C$9,IF(E127="B",D127*+Lookups!C$10,IF(E127="S",D127*2,IF(AND(D127=0,G127&gt;0),G127,"ERROR"))))))))</f>
        <v>0</v>
      </c>
      <c r="I127" s="22"/>
      <c r="J127" s="25"/>
      <c r="K127" s="13"/>
      <c r="L127" s="26">
        <f>IF(I127="",0,IF(K127&gt;0,0,IF(J127="A",I127,IF(J127="M",I127*12,IF(J127="W",I127*Lookups!D$9,IF(J127="B",I127*+Lookups!D$10,IF(J127="S",I127*2,IF(AND(I127=0,K127&gt;0),K127,"ERROR"))))))))</f>
        <v>0</v>
      </c>
      <c r="M127" s="103" t="str">
        <f>IF(OR(AND(L127=0,D127=0),K127&gt;0),"",IF(AND(E127="W",J127="W"),ROUND(L127-(D127*Lookups!$C$9),0),ROUND(+L127-H127,0)))</f>
        <v/>
      </c>
      <c r="N127" s="84" t="str">
        <f t="shared" si="11"/>
        <v/>
      </c>
      <c r="O127" s="97"/>
    </row>
    <row r="128" spans="2:20" x14ac:dyDescent="0.35">
      <c r="B128" s="27" t="s">
        <v>257</v>
      </c>
      <c r="C128" s="4" t="s">
        <v>258</v>
      </c>
      <c r="D128" s="22">
        <v>50</v>
      </c>
      <c r="E128" s="25" t="s">
        <v>38</v>
      </c>
      <c r="F128" s="25">
        <v>2200</v>
      </c>
      <c r="G128" s="13"/>
      <c r="H128" s="26">
        <f>IF(D128="",0,IF(G128&gt;0,0,IF(E128="A",D128,IF(E128="M",D128*12,IF(E128="W",D128*Lookups!C$9,IF(E128="B",D128*+Lookups!C$10,IF(E128="S",D128*2,IF(AND(D128=0,G128&gt;0),G128,"ERROR"))))))))</f>
        <v>2600</v>
      </c>
      <c r="I128" s="22">
        <v>50</v>
      </c>
      <c r="J128" s="25" t="s">
        <v>38</v>
      </c>
      <c r="K128" s="13"/>
      <c r="L128" s="26">
        <f>IF(I128="",0,IF(K128&gt;0,0,IF(J128="A",I128,IF(J128="M",I128*12,IF(J128="W",I128*Lookups!D$9,IF(J128="B",I128*+Lookups!D$10,IF(J128="S",I128*2,IF(AND(I128=0,K128&gt;0),K128,"ERROR"))))))))</f>
        <v>2600</v>
      </c>
      <c r="M128" s="103">
        <f>IF(OR(AND(L128=0,D128=0),K128&gt;0),"",IF(AND(E128="W",J128="W"),ROUND(L128-(D128*Lookups!$C$9),0),ROUND(+L128-H128,0)))</f>
        <v>0</v>
      </c>
      <c r="N128" s="84" t="str">
        <f t="shared" si="11"/>
        <v>S</v>
      </c>
      <c r="O128" s="97"/>
      <c r="P128" s="61" t="s">
        <v>495</v>
      </c>
      <c r="Q128" s="62" t="s">
        <v>501</v>
      </c>
      <c r="R128" s="62" t="s">
        <v>344</v>
      </c>
      <c r="S128" s="63" t="s">
        <v>323</v>
      </c>
      <c r="T128" s="64">
        <v>53403</v>
      </c>
    </row>
    <row r="129" spans="1:20" x14ac:dyDescent="0.35">
      <c r="B129" s="27" t="s">
        <v>154</v>
      </c>
      <c r="C129" s="4" t="s">
        <v>155</v>
      </c>
      <c r="D129" s="22">
        <v>175</v>
      </c>
      <c r="E129" s="25" t="s">
        <v>38</v>
      </c>
      <c r="F129" s="25">
        <v>6825</v>
      </c>
      <c r="G129" s="13"/>
      <c r="H129" s="26">
        <f>IF(D129="",0,IF(G129&gt;0,0,IF(E129="A",D129,IF(E129="M",D129*12,IF(E129="W",D129*Lookups!C$9,IF(E129="B",D129*+Lookups!C$10,IF(E129="S",D129*2,IF(AND(D129=0,G129&gt;0),G129,"ERROR"))))))))</f>
        <v>9100</v>
      </c>
      <c r="I129" s="22"/>
      <c r="J129" s="25"/>
      <c r="K129" s="13">
        <v>8000</v>
      </c>
      <c r="L129" s="26">
        <f>IF(I129="",0,IF(K129&gt;0,0,IF(J129="A",I129,IF(J129="M",I129*12,IF(J129="W",I129*Lookups!D$9,IF(J129="B",I129*+Lookups!D$10,IF(J129="S",I129*2,IF(AND(I129=0,K129&gt;0),K129,"ERROR"))))))))</f>
        <v>0</v>
      </c>
      <c r="M129" s="103" t="str">
        <f>IF(OR(AND(L129=0,D129=0),K129&gt;0),"",IF(AND(E129="W",J129="W"),ROUND(L129-(D129*Lookups!$C$9),0),ROUND(+L129-H129,0)))</f>
        <v/>
      </c>
      <c r="N129" s="84" t="str">
        <f t="shared" si="11"/>
        <v>E</v>
      </c>
      <c r="O129" s="97"/>
      <c r="P129" s="61" t="s">
        <v>397</v>
      </c>
      <c r="Q129" s="62" t="s">
        <v>398</v>
      </c>
      <c r="R129" s="62" t="s">
        <v>322</v>
      </c>
      <c r="S129" s="63" t="s">
        <v>323</v>
      </c>
      <c r="T129" s="64">
        <v>53406</v>
      </c>
    </row>
    <row r="130" spans="1:20" x14ac:dyDescent="0.35">
      <c r="B130" s="24" t="s">
        <v>154</v>
      </c>
      <c r="C130" s="4" t="s">
        <v>156</v>
      </c>
      <c r="D130" s="22">
        <v>60</v>
      </c>
      <c r="E130" s="25" t="s">
        <v>38</v>
      </c>
      <c r="F130" s="25">
        <v>2695.07</v>
      </c>
      <c r="G130" s="13"/>
      <c r="H130" s="26">
        <f>IF(D130="",0,IF(G130&gt;0,0,IF(E130="A",D130,IF(E130="M",D130*12,IF(E130="W",D130*Lookups!C$9,IF(E130="B",D130*+Lookups!C$10,IF(E130="S",D130*2,IF(AND(D130=0,G130&gt;0),G130,"ERROR"))))))))</f>
        <v>3120</v>
      </c>
      <c r="I130" s="22">
        <v>65</v>
      </c>
      <c r="J130" s="25" t="s">
        <v>38</v>
      </c>
      <c r="K130" s="13"/>
      <c r="L130" s="26">
        <f>IF(I130="",0,IF(K130&gt;0,0,IF(J130="A",I130,IF(J130="M",I130*12,IF(J130="W",I130*Lookups!D$9,IF(J130="B",I130*+Lookups!D$10,IF(J130="S",I130*2,IF(AND(I130=0,K130&gt;0),K130,"ERROR"))))))))</f>
        <v>3380</v>
      </c>
      <c r="M130" s="103">
        <f>IF(OR(AND(L130=0,D130=0),K130&gt;0),"",IF(AND(E130="W",J130="W"),ROUND(L130-(D130*Lookups!$C$9),0),ROUND(+L130-H130,0)))</f>
        <v>260</v>
      </c>
      <c r="N130" s="84" t="str">
        <f t="shared" si="11"/>
        <v>I</v>
      </c>
      <c r="O130" s="97"/>
      <c r="P130" s="61" t="s">
        <v>399</v>
      </c>
      <c r="Q130" s="62" t="s">
        <v>400</v>
      </c>
      <c r="R130" s="62" t="s">
        <v>322</v>
      </c>
      <c r="S130" s="63" t="s">
        <v>323</v>
      </c>
      <c r="T130" s="64">
        <v>53406</v>
      </c>
    </row>
    <row r="131" spans="1:20" x14ac:dyDescent="0.35">
      <c r="B131" s="27" t="s">
        <v>157</v>
      </c>
      <c r="C131" s="4" t="s">
        <v>158</v>
      </c>
      <c r="D131" s="22"/>
      <c r="E131" s="25"/>
      <c r="F131" s="25">
        <v>1000</v>
      </c>
      <c r="G131" s="13">
        <f>100*12</f>
        <v>1200</v>
      </c>
      <c r="H131" s="26">
        <f>IF(D131="",0,IF(G131&gt;0,0,IF(E131="A",D131,IF(E131="M",D131*12,IF(E131="W",D131*Lookups!C$9,IF(E131="B",D131*+Lookups!C$10,IF(E131="S",D131*2,IF(AND(D131=0,G131&gt;0),G131,"ERROR"))))))))</f>
        <v>0</v>
      </c>
      <c r="I131" s="22"/>
      <c r="J131" s="25"/>
      <c r="K131" s="13">
        <v>1000</v>
      </c>
      <c r="L131" s="26">
        <f>IF(I131="",0,IF(K131&gt;0,0,IF(J131="A",I131,IF(J131="M",I131*12,IF(J131="W",I131*Lookups!D$9,IF(J131="B",I131*+Lookups!D$10,IF(J131="S",I131*2,IF(AND(I131=0,K131&gt;0),K131,"ERROR"))))))))</f>
        <v>0</v>
      </c>
      <c r="M131" s="103" t="str">
        <f>IF(OR(AND(L131=0,D131=0),K131&gt;0),"",IF(AND(E131="W",J131="W"),ROUND(L131-(D131*Lookups!$C$9),0),ROUND(+L131-H131,0)))</f>
        <v/>
      </c>
      <c r="N131" s="84" t="str">
        <f t="shared" si="11"/>
        <v>E</v>
      </c>
      <c r="O131" s="97"/>
    </row>
    <row r="132" spans="1:20" x14ac:dyDescent="0.35">
      <c r="B132" s="27" t="s">
        <v>159</v>
      </c>
      <c r="C132" s="4" t="s">
        <v>160</v>
      </c>
      <c r="D132" s="22">
        <v>400</v>
      </c>
      <c r="E132" s="25" t="s">
        <v>39</v>
      </c>
      <c r="F132" s="25">
        <v>4000</v>
      </c>
      <c r="G132" s="13"/>
      <c r="H132" s="26">
        <f>IF(D132="",0,IF(G132&gt;0,0,IF(E132="A",D132,IF(E132="M",D132*12,IF(E132="W",D132*Lookups!C$9,IF(E132="B",D132*+Lookups!C$10,IF(E132="S",D132*2,IF(AND(D132=0,G132&gt;0),G132,"ERROR"))))))))</f>
        <v>4800</v>
      </c>
      <c r="I132" s="81">
        <v>400</v>
      </c>
      <c r="J132" s="83" t="s">
        <v>39</v>
      </c>
      <c r="K132" s="80"/>
      <c r="L132" s="82">
        <f>IF(I132="",0,IF(K132&gt;0,0,IF(J132="A",I132,IF(J132="M",I132*12,IF(J132="W",I132*Lookups!D$9,IF(J132="B",I132*+Lookups!D$10,IF(J132="S",I132*2,IF(AND(I132=0,K132&gt;0),K132,"ERROR"))))))))</f>
        <v>4800</v>
      </c>
      <c r="M132" s="103">
        <f>IF(OR(AND(L132=0,D132=0),K132&gt;0),"",IF(AND(E132="W",J132="W"),ROUND(L132-(D132*Lookups!$C$9),0),ROUND(+L132-H132,0)))</f>
        <v>0</v>
      </c>
      <c r="N132" s="84" t="str">
        <f t="shared" si="11"/>
        <v>S</v>
      </c>
      <c r="O132" s="97"/>
      <c r="P132" s="61" t="s">
        <v>401</v>
      </c>
      <c r="Q132" s="62" t="s">
        <v>402</v>
      </c>
      <c r="R132" s="62" t="s">
        <v>344</v>
      </c>
      <c r="S132" s="63" t="s">
        <v>323</v>
      </c>
      <c r="T132" s="64">
        <v>53402</v>
      </c>
    </row>
    <row r="133" spans="1:20" x14ac:dyDescent="0.35">
      <c r="B133" s="27" t="s">
        <v>161</v>
      </c>
      <c r="C133" s="4" t="s">
        <v>121</v>
      </c>
      <c r="D133" s="22">
        <v>50</v>
      </c>
      <c r="E133" s="25" t="s">
        <v>38</v>
      </c>
      <c r="F133" s="25">
        <v>2050</v>
      </c>
      <c r="G133" s="13"/>
      <c r="H133" s="26">
        <f>IF(D133="",0,IF(G133&gt;0,0,IF(E133="A",D133,IF(E133="M",D133*12,IF(E133="W",D133*Lookups!C$9,IF(E133="B",D133*+Lookups!C$10,IF(E133="S",D133*2,IF(AND(D133=0,G133&gt;0),G133,"ERROR"))))))))</f>
        <v>2600</v>
      </c>
      <c r="I133" s="22">
        <v>200</v>
      </c>
      <c r="J133" s="25" t="s">
        <v>39</v>
      </c>
      <c r="K133" s="13"/>
      <c r="L133" s="26">
        <f>IF(I133="",0,IF(K133&gt;0,0,IF(J133="A",I133,IF(J133="M",I133*12,IF(J133="W",I133*Lookups!D$9,IF(J133="B",I133*+Lookups!D$10,IF(J133="S",I133*2,IF(AND(I133=0,K133&gt;0),K133,"ERROR"))))))))</f>
        <v>2400</v>
      </c>
      <c r="M133" s="103">
        <f>IF(OR(AND(L133=0,D133=0),K133&gt;0),"",IF(AND(E133="W",J133="W"),ROUND(L133-(D133*Lookups!$C$9),0),ROUND(+L133-H133,0)))</f>
        <v>-200</v>
      </c>
      <c r="N133" s="84" t="str">
        <f t="shared" si="11"/>
        <v>D</v>
      </c>
      <c r="O133" s="97"/>
      <c r="P133" s="61" t="s">
        <v>496</v>
      </c>
      <c r="Q133" s="62" t="s">
        <v>497</v>
      </c>
      <c r="R133" s="62" t="s">
        <v>442</v>
      </c>
      <c r="S133" s="63" t="s">
        <v>323</v>
      </c>
      <c r="T133" s="64">
        <v>53144</v>
      </c>
    </row>
    <row r="134" spans="1:20" x14ac:dyDescent="0.35">
      <c r="B134" s="27" t="s">
        <v>259</v>
      </c>
      <c r="C134" s="4" t="s">
        <v>260</v>
      </c>
      <c r="D134" s="22">
        <v>1000</v>
      </c>
      <c r="E134" s="25" t="s">
        <v>35</v>
      </c>
      <c r="F134" s="25">
        <v>2000</v>
      </c>
      <c r="G134" s="13"/>
      <c r="H134" s="26">
        <f>IF(D134="",0,IF(G134&gt;0,0,IF(E134="A",D134,IF(E134="M",D134*12,IF(E134="W",D134*Lookups!C$9,IF(E134="B",D134*+Lookups!C$10,IF(E134="S",D134*2,IF(AND(D134=0,G134&gt;0),G134,"ERROR"))))))))</f>
        <v>1000</v>
      </c>
      <c r="I134" s="22">
        <v>5000</v>
      </c>
      <c r="J134" s="25" t="s">
        <v>35</v>
      </c>
      <c r="K134" s="13"/>
      <c r="L134" s="26">
        <f>IF(I134="",0,IF(K134&gt;0,0,IF(J134="A",I134,IF(J134="M",I134*12,IF(J134="W",I134*Lookups!D$9,IF(J134="B",I134*+Lookups!D$10,IF(J134="S",I134*2,IF(AND(I134=0,K134&gt;0),K134,"ERROR"))))))))</f>
        <v>5000</v>
      </c>
      <c r="M134" s="103">
        <f>IF(OR(AND(L134=0,D134=0),K134&gt;0),"",IF(AND(E134="W",J134="W"),ROUND(L134-(D134*Lookups!$C$9),0),ROUND(+L134-H134,0)))</f>
        <v>4000</v>
      </c>
      <c r="N134" s="84" t="str">
        <f t="shared" si="11"/>
        <v>I</v>
      </c>
      <c r="O134" s="97" t="s">
        <v>498</v>
      </c>
      <c r="P134" s="61" t="s">
        <v>499</v>
      </c>
      <c r="Q134" s="62" t="s">
        <v>500</v>
      </c>
      <c r="R134" s="62" t="s">
        <v>475</v>
      </c>
      <c r="S134" s="63" t="s">
        <v>323</v>
      </c>
      <c r="T134" s="64">
        <v>53406</v>
      </c>
    </row>
    <row r="135" spans="1:20" x14ac:dyDescent="0.35">
      <c r="A135" s="106" t="s">
        <v>547</v>
      </c>
      <c r="B135" s="27" t="s">
        <v>162</v>
      </c>
      <c r="C135" s="4" t="s">
        <v>261</v>
      </c>
      <c r="D135" s="22">
        <v>1200</v>
      </c>
      <c r="E135" s="25" t="s">
        <v>35</v>
      </c>
      <c r="F135" s="25"/>
      <c r="G135" s="13"/>
      <c r="H135" s="26">
        <f>IF(D135="",0,IF(G135&gt;0,0,IF(E135="A",D135,IF(E135="M",D135*12,IF(E135="W",D135*Lookups!C$9,IF(E135="B",D135*+Lookups!C$10,IF(E135="S",D135*2,IF(AND(D135=0,G135&gt;0),G135,"ERROR"))))))))</f>
        <v>1200</v>
      </c>
      <c r="I135" s="22"/>
      <c r="J135" s="25"/>
      <c r="K135" s="13"/>
      <c r="L135" s="26">
        <f>IF(I135="",0,IF(K135&gt;0,0,IF(J135="A",I135,IF(J135="M",I135*12,IF(J135="W",I135*Lookups!D$9,IF(J135="B",I135*+Lookups!D$10,IF(J135="S",I135*2,IF(AND(I135=0,K135&gt;0),K135,"ERROR"))))))))</f>
        <v>0</v>
      </c>
      <c r="M135" s="103">
        <f>IF(OR(AND(L135=0,D135=0),K135&gt;0),"",IF(AND(E135="W",J135="W"),ROUND(L135-(D135*Lookups!$C$9),0),ROUND(+L135-H135,0)))</f>
        <v>-1200</v>
      </c>
      <c r="N135" s="84" t="str">
        <f t="shared" si="11"/>
        <v>D</v>
      </c>
      <c r="O135" s="97"/>
      <c r="P135" s="61" t="s">
        <v>502</v>
      </c>
      <c r="Q135" s="62" t="s">
        <v>503</v>
      </c>
      <c r="R135" s="62" t="s">
        <v>504</v>
      </c>
      <c r="S135" s="63" t="s">
        <v>323</v>
      </c>
      <c r="T135" s="64">
        <v>53185</v>
      </c>
    </row>
    <row r="136" spans="1:20" x14ac:dyDescent="0.35">
      <c r="B136" s="24" t="s">
        <v>162</v>
      </c>
      <c r="C136" s="79" t="s">
        <v>163</v>
      </c>
      <c r="D136" s="22">
        <v>15</v>
      </c>
      <c r="E136" s="25" t="s">
        <v>38</v>
      </c>
      <c r="F136" s="25">
        <v>660</v>
      </c>
      <c r="G136" s="13"/>
      <c r="H136" s="26">
        <f>IF(D136="",0,IF(G136&gt;0,0,IF(E136="A",D136,IF(E136="M",D136*12,IF(E136="W",D136*Lookups!C$9,IF(E136="B",D136*+Lookups!C$10,IF(E136="S",D136*2,IF(AND(D136=0,G136&gt;0),G136,"ERROR"))))))))</f>
        <v>780</v>
      </c>
      <c r="I136" s="22">
        <v>15</v>
      </c>
      <c r="J136" s="25" t="s">
        <v>38</v>
      </c>
      <c r="K136" s="13"/>
      <c r="L136" s="26">
        <f>IF(I136="",0,IF(K136&gt;0,0,IF(J136="A",I136,IF(J136="M",I136*12,IF(J136="W",I136*Lookups!D$9,IF(J136="B",I136*+Lookups!D$10,IF(J136="S",I136*2,IF(AND(I136=0,K136&gt;0),K136,"ERROR"))))))))</f>
        <v>780</v>
      </c>
      <c r="M136" s="103">
        <f>IF(OR(AND(L136=0,D136=0),K136&gt;0),"",IF(AND(E136="W",J136="W"),ROUND(L136-(D136*Lookups!$C$9),0),ROUND(+L136-H136,0)))</f>
        <v>0</v>
      </c>
      <c r="N136" s="84" t="str">
        <f t="shared" si="11"/>
        <v>S</v>
      </c>
      <c r="O136" s="97"/>
      <c r="P136" s="61" t="s">
        <v>505</v>
      </c>
      <c r="Q136" s="62" t="s">
        <v>506</v>
      </c>
      <c r="R136" s="62" t="s">
        <v>344</v>
      </c>
      <c r="S136" s="63" t="s">
        <v>507</v>
      </c>
      <c r="T136" s="64">
        <v>53406</v>
      </c>
    </row>
    <row r="137" spans="1:20" x14ac:dyDescent="0.35">
      <c r="B137" s="27" t="s">
        <v>164</v>
      </c>
      <c r="C137" s="4" t="s">
        <v>12</v>
      </c>
      <c r="D137" s="22">
        <v>170</v>
      </c>
      <c r="E137" s="25" t="s">
        <v>39</v>
      </c>
      <c r="F137" s="25">
        <v>1700</v>
      </c>
      <c r="G137" s="13"/>
      <c r="H137" s="26">
        <f>IF(D137="",0,IF(G137&gt;0,0,IF(E137="A",D137,IF(E137="M",D137*12,IF(E137="W",D137*Lookups!C$9,IF(E137="B",D137*+Lookups!C$10,IF(E137="S",D137*2,IF(AND(D137=0,G137&gt;0),G137,"ERROR"))))))))</f>
        <v>2040</v>
      </c>
      <c r="I137" s="22">
        <v>180</v>
      </c>
      <c r="J137" s="25" t="s">
        <v>39</v>
      </c>
      <c r="K137" s="13"/>
      <c r="L137" s="26">
        <f>IF(I137="",0,IF(K137&gt;0,0,IF(J137="A",I137,IF(J137="M",I137*12,IF(J137="W",I137*Lookups!D$9,IF(J137="B",I137*+Lookups!D$10,IF(J137="S",I137*2,IF(AND(I137=0,K137&gt;0),K137,"ERROR"))))))))</f>
        <v>2160</v>
      </c>
      <c r="M137" s="103">
        <f>IF(OR(AND(L137=0,D137=0),K137&gt;0),"",IF(AND(E137="W",J137="W"),ROUND(L137-(D137*Lookups!$C$9),0),ROUND(+L137-H137,0)))</f>
        <v>120</v>
      </c>
      <c r="N137" s="84" t="str">
        <f t="shared" si="11"/>
        <v>I</v>
      </c>
      <c r="O137" s="97"/>
      <c r="P137" s="61" t="s">
        <v>508</v>
      </c>
      <c r="Q137" s="62" t="s">
        <v>509</v>
      </c>
      <c r="R137" s="62" t="s">
        <v>475</v>
      </c>
      <c r="S137" s="63" t="s">
        <v>323</v>
      </c>
      <c r="T137" s="64">
        <v>53406</v>
      </c>
    </row>
    <row r="138" spans="1:20" x14ac:dyDescent="0.35">
      <c r="B138" s="27" t="s">
        <v>164</v>
      </c>
      <c r="C138" s="4" t="s">
        <v>306</v>
      </c>
      <c r="D138" s="22"/>
      <c r="E138" s="25"/>
      <c r="F138" s="25">
        <v>270</v>
      </c>
      <c r="G138" s="13"/>
      <c r="H138" s="26">
        <f>IF(D138="",0,IF(G138&gt;0,0,IF(E138="A",D138,IF(E138="M",D138*12,IF(E138="W",D138*Lookups!C$9,IF(E138="B",D138*+Lookups!C$10,IF(E138="S",D138*2,IF(AND(D138=0,G138&gt;0),G138,"ERROR"))))))))</f>
        <v>0</v>
      </c>
      <c r="I138" s="22"/>
      <c r="J138" s="25"/>
      <c r="K138" s="13"/>
      <c r="L138" s="26">
        <f>IF(I138="",0,IF(K138&gt;0,0,IF(J138="A",I138,IF(J138="M",I138*12,IF(J138="W",I138*Lookups!D$9,IF(J138="B",I138*+Lookups!D$10,IF(J138="S",I138*2,IF(AND(I138=0,K138&gt;0),K138,"ERROR"))))))))</f>
        <v>0</v>
      </c>
      <c r="M138" s="103" t="str">
        <f>IF(OR(AND(L138=0,D138=0),K138&gt;0),"",IF(AND(E138="W",J138="W"),ROUND(L138-(D138*Lookups!$C$9),0),ROUND(+L138-H138,0)))</f>
        <v/>
      </c>
      <c r="N138" s="84" t="str">
        <f t="shared" si="11"/>
        <v/>
      </c>
      <c r="O138" s="97"/>
    </row>
    <row r="139" spans="1:20" ht="29" x14ac:dyDescent="0.35">
      <c r="B139" s="27" t="s">
        <v>165</v>
      </c>
      <c r="C139" s="4" t="s">
        <v>166</v>
      </c>
      <c r="D139" s="22">
        <v>80000</v>
      </c>
      <c r="E139" s="25" t="s">
        <v>35</v>
      </c>
      <c r="F139" s="25">
        <v>85000</v>
      </c>
      <c r="G139" s="13"/>
      <c r="H139" s="26">
        <f>IF(D139="",0,IF(G139&gt;0,0,IF(E139="A",D139,IF(E139="M",D139*12,IF(E139="W",D139*Lookups!C$9,IF(E139="B",D139*+Lookups!C$10,IF(E139="S",D139*2,IF(AND(D139=0,G139&gt;0),G139,"ERROR"))))))))</f>
        <v>80000</v>
      </c>
      <c r="I139" s="22">
        <v>97000</v>
      </c>
      <c r="J139" s="25" t="s">
        <v>35</v>
      </c>
      <c r="K139" s="13"/>
      <c r="L139" s="26">
        <f>IF(I139="",0,IF(K139&gt;0,0,IF(J139="A",I139,IF(J139="M",I139*12,IF(J139="W",I139*Lookups!D$9,IF(J139="B",I139*+Lookups!D$10,IF(J139="S",I139*2,IF(AND(I139=0,K139&gt;0),K139,"ERROR"))))))))</f>
        <v>97000</v>
      </c>
      <c r="M139" s="103">
        <f>IF(OR(AND(L139=0,D139=0),K139&gt;0),"",IF(AND(E139="W",J139="W"),ROUND(L139-(D139*Lookups!$C$9),0),ROUND(+L139-H139,0)))</f>
        <v>17000</v>
      </c>
      <c r="N139" s="84" t="str">
        <f t="shared" si="11"/>
        <v>I</v>
      </c>
      <c r="O139" s="105" t="s">
        <v>510</v>
      </c>
    </row>
    <row r="140" spans="1:20" x14ac:dyDescent="0.35">
      <c r="B140" s="27" t="s">
        <v>167</v>
      </c>
      <c r="C140" s="4" t="s">
        <v>590</v>
      </c>
      <c r="D140" s="22"/>
      <c r="E140" s="25"/>
      <c r="F140" s="25"/>
      <c r="G140" s="13"/>
      <c r="H140" s="26">
        <f>IF(D140="",0,IF(G140&gt;0,0,IF(E140="A",D140,IF(E140="M",D140*12,IF(E140="W",D140*Lookups!C$9,IF(E140="B",D140*+Lookups!C$10,IF(E140="S",D140*2,IF(AND(D140=0,G140&gt;0),G140,"ERROR"))))))))</f>
        <v>0</v>
      </c>
      <c r="I140" s="22">
        <v>125</v>
      </c>
      <c r="J140" s="25" t="s">
        <v>39</v>
      </c>
      <c r="K140" s="13"/>
      <c r="L140" s="26">
        <f>IF(I140="",0,IF(K140&gt;0,0,IF(J140="A",I140,IF(J140="M",I140*12,IF(J140="W",I140*Lookups!D$9,IF(J140="B",I140*+Lookups!D$10,IF(J140="S",I140*2,IF(AND(I140=0,K140&gt;0),K140,"ERROR"))))))))</f>
        <v>1500</v>
      </c>
      <c r="M140" s="103">
        <f>IF(OR(AND(L140=0,D140=0),K140&gt;0),"",IF(AND(E140="W",J140="W"),ROUND(L140-(D140*Lookups!$C$9),0),ROUND(+L140-H140,0)))</f>
        <v>1500</v>
      </c>
      <c r="N140" s="84" t="str">
        <f t="shared" ref="N140" si="13">IF(K140&gt;0,"E",IF(M140="","",IF(M140=0,"S",IF(AND(M140&gt;0,NOT(D140=0)),"I",IF(AND(M140&gt;0,D140=0),"N",IF(M140&lt;0,"D","ERROR"))))))</f>
        <v>N</v>
      </c>
      <c r="O140" s="105"/>
    </row>
    <row r="141" spans="1:20" x14ac:dyDescent="0.35">
      <c r="B141" s="27" t="s">
        <v>167</v>
      </c>
      <c r="C141" s="4" t="s">
        <v>168</v>
      </c>
      <c r="D141" s="22"/>
      <c r="E141" s="25"/>
      <c r="F141" s="25">
        <v>750</v>
      </c>
      <c r="G141" s="13"/>
      <c r="H141" s="26">
        <f>IF(D141="",0,IF(G141&gt;0,0,IF(E141="A",D141,IF(E141="M",D141*12,IF(E141="W",D141*Lookups!C$9,IF(E141="B",D141*+Lookups!C$10,IF(E141="S",D141*2,IF(AND(D141=0,G141&gt;0),G141,"ERROR"))))))))</f>
        <v>0</v>
      </c>
      <c r="I141" s="22"/>
      <c r="J141" s="25"/>
      <c r="K141" s="13">
        <v>600</v>
      </c>
      <c r="L141" s="26">
        <f>IF(I141="",0,IF(K141&gt;0,0,IF(J141="A",I141,IF(J141="M",I141*12,IF(J141="W",I141*Lookups!D$9,IF(J141="B",I141*+Lookups!D$10,IF(J141="S",I141*2,IF(AND(I141=0,K141&gt;0),K141,"ERROR"))))))))</f>
        <v>0</v>
      </c>
      <c r="M141" s="103" t="str">
        <f>IF(OR(AND(L141=0,D141=0),K141&gt;0),"",IF(AND(E141="W",J141="W"),ROUND(L141-(D141*Lookups!$C$9),0),ROUND(+L141-H141,0)))</f>
        <v/>
      </c>
      <c r="N141" s="84" t="str">
        <f t="shared" si="11"/>
        <v>E</v>
      </c>
      <c r="O141" s="97"/>
    </row>
    <row r="142" spans="1:20" x14ac:dyDescent="0.35">
      <c r="B142" s="27" t="s">
        <v>263</v>
      </c>
      <c r="C142" s="4" t="s">
        <v>264</v>
      </c>
      <c r="D142" s="22"/>
      <c r="E142" s="25"/>
      <c r="F142" s="25">
        <v>140</v>
      </c>
      <c r="G142" s="13"/>
      <c r="H142" s="26">
        <f>IF(D142="",0,IF(G142&gt;0,0,IF(E142="A",D142,IF(E142="M",D142*12,IF(E142="W",D142*Lookups!C$9,IF(E142="B",D142*+Lookups!C$10,IF(E142="S",D142*2,IF(AND(D142=0,G142&gt;0),G142,"ERROR"))))))))</f>
        <v>0</v>
      </c>
      <c r="I142" s="22"/>
      <c r="J142" s="25"/>
      <c r="K142" s="13"/>
      <c r="L142" s="26">
        <f>IF(I142="",0,IF(K142&gt;0,0,IF(J142="A",I142,IF(J142="M",I142*12,IF(J142="W",I142*Lookups!D$9,IF(J142="B",I142*+Lookups!D$10,IF(J142="S",I142*2,IF(AND(I142=0,K142&gt;0),K142,"ERROR"))))))))</f>
        <v>0</v>
      </c>
      <c r="M142" s="103" t="str">
        <f>IF(OR(AND(L142=0,D142=0),K142&gt;0),"",IF(AND(E142="W",J142="W"),ROUND(L142-(D142*Lookups!$C$9),0),ROUND(+L142-H142,0)))</f>
        <v/>
      </c>
      <c r="N142" s="84" t="str">
        <f t="shared" si="11"/>
        <v/>
      </c>
      <c r="O142" s="97"/>
    </row>
    <row r="143" spans="1:20" ht="29" x14ac:dyDescent="0.35">
      <c r="B143" s="27" t="s">
        <v>169</v>
      </c>
      <c r="C143" s="4" t="s">
        <v>591</v>
      </c>
      <c r="D143" s="22">
        <v>55</v>
      </c>
      <c r="E143" s="25" t="s">
        <v>38</v>
      </c>
      <c r="F143" s="25">
        <v>2320</v>
      </c>
      <c r="G143" s="13"/>
      <c r="H143" s="26">
        <f>IF(D143="",0,IF(G143&gt;0,0,IF(E143="A",D143,IF(E143="M",D143*12,IF(E143="W",D143*Lookups!C$9,IF(E143="B",D143*+Lookups!C$10,IF(E143="S",D143*2,IF(AND(D143=0,G143&gt;0),G143,"ERROR"))))))))</f>
        <v>2860</v>
      </c>
      <c r="I143" s="22">
        <v>50</v>
      </c>
      <c r="J143" s="25" t="s">
        <v>38</v>
      </c>
      <c r="K143" s="13"/>
      <c r="L143" s="26">
        <f>IF(I143="",0,IF(K143&gt;0,0,IF(J143="A",I143,IF(J143="M",I143*12,IF(J143="W",I143*Lookups!D$9,IF(J143="B",I143*+Lookups!D$10,IF(J143="S",I143*2,IF(AND(I143=0,K143&gt;0),K143,"ERROR"))))))))</f>
        <v>2600</v>
      </c>
      <c r="M143" s="103">
        <f>IF(OR(AND(L143=0,D143=0),K143&gt;0),"",IF(AND(E143="W",J143="W"),ROUND(L143-(D143*Lookups!$C$9),0),ROUND(+L143-H143,0)))</f>
        <v>-260</v>
      </c>
      <c r="N143" s="84" t="str">
        <f t="shared" si="11"/>
        <v>D</v>
      </c>
      <c r="O143" s="97"/>
      <c r="P143" s="61" t="s">
        <v>511</v>
      </c>
      <c r="Q143" s="95" t="s">
        <v>512</v>
      </c>
      <c r="R143" s="62" t="s">
        <v>513</v>
      </c>
      <c r="S143" s="63" t="s">
        <v>514</v>
      </c>
      <c r="T143" s="64" t="s">
        <v>515</v>
      </c>
    </row>
    <row r="144" spans="1:20" x14ac:dyDescent="0.35">
      <c r="B144" s="27" t="s">
        <v>265</v>
      </c>
      <c r="C144" s="4" t="s">
        <v>266</v>
      </c>
      <c r="D144" s="22"/>
      <c r="E144" s="25"/>
      <c r="F144" s="25">
        <v>60</v>
      </c>
      <c r="G144" s="13"/>
      <c r="H144" s="26">
        <f>IF(D144="",0,IF(G144&gt;0,0,IF(E144="A",D144,IF(E144="M",D144*12,IF(E144="W",D144*Lookups!C$9,IF(E144="B",D144*+Lookups!C$10,IF(E144="S",D144*2,IF(AND(D144=0,G144&gt;0),G144,"ERROR"))))))))</f>
        <v>0</v>
      </c>
      <c r="I144" s="22"/>
      <c r="J144" s="25"/>
      <c r="K144" s="13"/>
      <c r="L144" s="26">
        <f>IF(I144="",0,IF(K144&gt;0,0,IF(J144="A",I144,IF(J144="M",I144*12,IF(J144="W",I144*Lookups!D$9,IF(J144="B",I144*+Lookups!D$10,IF(J144="S",I144*2,IF(AND(I144=0,K144&gt;0),K144,"ERROR"))))))))</f>
        <v>0</v>
      </c>
      <c r="M144" s="103" t="str">
        <f>IF(OR(AND(L144=0,D144=0),K144&gt;0),"",IF(AND(E144="W",J144="W"),ROUND(L144-(D144*Lookups!$C$9),0),ROUND(+L144-H144,0)))</f>
        <v/>
      </c>
      <c r="N144" s="84" t="str">
        <f t="shared" si="11"/>
        <v/>
      </c>
      <c r="O144" s="97"/>
    </row>
    <row r="145" spans="1:21" x14ac:dyDescent="0.35">
      <c r="B145" s="24" t="s">
        <v>170</v>
      </c>
      <c r="C145" s="4" t="s">
        <v>171</v>
      </c>
      <c r="D145" s="22">
        <v>20</v>
      </c>
      <c r="E145" s="25" t="s">
        <v>39</v>
      </c>
      <c r="F145" s="25">
        <v>210</v>
      </c>
      <c r="G145" s="13"/>
      <c r="H145" s="26">
        <f>IF(D145="",0,IF(G145&gt;0,0,IF(E145="A",D145,IF(E145="M",D145*12,IF(E145="W",D145*Lookups!C$9,IF(E145="B",D145*+Lookups!C$10,IF(E145="S",D145*2,IF(AND(D145=0,G145&gt;0),G145,"ERROR"))))))))</f>
        <v>240</v>
      </c>
      <c r="I145" s="22">
        <v>20</v>
      </c>
      <c r="J145" s="25" t="s">
        <v>39</v>
      </c>
      <c r="K145" s="13"/>
      <c r="L145" s="26">
        <f>IF(I145="",0,IF(K145&gt;0,0,IF(J145="A",I145,IF(J145="M",I145*12,IF(J145="W",I145*Lookups!D$9,IF(J145="B",I145*+Lookups!D$10,IF(J145="S",I145*2,IF(AND(I145=0,K145&gt;0),K145,"ERROR"))))))))</f>
        <v>240</v>
      </c>
      <c r="M145" s="103">
        <f>IF(OR(AND(L145=0,D145=0),K145&gt;0),"",IF(AND(E145="W",J145="W"),ROUND(L145-(D145*Lookups!$C$9),0),ROUND(+L145-H145,0)))</f>
        <v>0</v>
      </c>
      <c r="N145" s="84" t="str">
        <f t="shared" si="11"/>
        <v>S</v>
      </c>
      <c r="O145" s="97"/>
      <c r="Q145" s="62" t="s">
        <v>559</v>
      </c>
      <c r="R145" s="62" t="s">
        <v>344</v>
      </c>
      <c r="S145" s="63" t="s">
        <v>323</v>
      </c>
      <c r="T145" s="64">
        <v>53405</v>
      </c>
    </row>
    <row r="146" spans="1:21" x14ac:dyDescent="0.35">
      <c r="B146" s="24" t="s">
        <v>172</v>
      </c>
      <c r="C146" s="4" t="s">
        <v>173</v>
      </c>
      <c r="D146" s="22">
        <v>100</v>
      </c>
      <c r="E146" s="25" t="s">
        <v>39</v>
      </c>
      <c r="F146" s="25">
        <v>1000</v>
      </c>
      <c r="G146" s="13"/>
      <c r="H146" s="26">
        <f>IF(D146="",0,IF(G146&gt;0,0,IF(E146="A",D146,IF(E146="M",D146*12,IF(E146="W",D146*Lookups!C$9,IF(E146="B",D146*+Lookups!C$10,IF(E146="S",D146*2,IF(AND(D146=0,G146&gt;0),G146,"ERROR"))))))))</f>
        <v>1200</v>
      </c>
      <c r="I146" s="22">
        <v>100</v>
      </c>
      <c r="J146" s="25" t="s">
        <v>39</v>
      </c>
      <c r="K146" s="13"/>
      <c r="L146" s="26">
        <f>IF(I146="",0,IF(K146&gt;0,0,IF(J146="A",I146,IF(J146="M",I146*12,IF(J146="W",I146*Lookups!D$9,IF(J146="B",I146*+Lookups!D$10,IF(J146="S",I146*2,IF(AND(I146=0,K146&gt;0),K146,"ERROR"))))))))</f>
        <v>1200</v>
      </c>
      <c r="M146" s="103">
        <f>IF(OR(AND(L146=0,D146=0),K146&gt;0),"",IF(AND(E146="W",J146="W"),ROUND(L146-(D146*Lookups!$C$9),0),ROUND(+L146-H146,0)))</f>
        <v>0</v>
      </c>
      <c r="N146" s="84" t="str">
        <f t="shared" si="11"/>
        <v>S</v>
      </c>
      <c r="O146" s="111"/>
      <c r="P146" s="61" t="s">
        <v>557</v>
      </c>
      <c r="Q146" s="62" t="s">
        <v>558</v>
      </c>
      <c r="R146" s="62" t="s">
        <v>322</v>
      </c>
      <c r="S146" s="63" t="s">
        <v>323</v>
      </c>
      <c r="T146" s="64">
        <v>53406</v>
      </c>
    </row>
    <row r="147" spans="1:21" x14ac:dyDescent="0.35">
      <c r="B147" s="27" t="s">
        <v>267</v>
      </c>
      <c r="C147" s="4" t="s">
        <v>268</v>
      </c>
      <c r="D147" s="22"/>
      <c r="E147" s="25"/>
      <c r="F147" s="25">
        <v>850</v>
      </c>
      <c r="G147" s="13"/>
      <c r="H147" s="26">
        <f>IF(D147="",0,IF(G147&gt;0,0,IF(E147="A",D147,IF(E147="M",D147*12,IF(E147="W",D147*Lookups!C$9,IF(E147="B",D147*+Lookups!C$10,IF(E147="S",D147*2,IF(AND(D147=0,G147&gt;0),G147,"ERROR"))))))))</f>
        <v>0</v>
      </c>
      <c r="I147" s="22"/>
      <c r="J147" s="25"/>
      <c r="K147" s="13">
        <v>500</v>
      </c>
      <c r="L147" s="26">
        <f>IF(I147="",0,IF(K147&gt;0,0,IF(J147="A",I147,IF(J147="M",I147*12,IF(J147="W",I147*Lookups!D$9,IF(J147="B",I147*+Lookups!D$10,IF(J147="S",I147*2,IF(AND(I147=0,K147&gt;0),K147,"ERROR"))))))))</f>
        <v>0</v>
      </c>
      <c r="M147" s="103" t="str">
        <f>IF(OR(AND(L147=0,D147=0),K147&gt;0),"",IF(AND(E147="W",J147="W"),ROUND(L147-(D147*Lookups!$C$9),0),ROUND(+L147-H147,0)))</f>
        <v/>
      </c>
      <c r="N147" s="84" t="str">
        <f t="shared" si="11"/>
        <v>E</v>
      </c>
      <c r="O147" s="97"/>
    </row>
    <row r="148" spans="1:21" x14ac:dyDescent="0.35">
      <c r="B148" s="27" t="s">
        <v>174</v>
      </c>
      <c r="C148" s="4" t="s">
        <v>175</v>
      </c>
      <c r="D148" s="22">
        <v>275</v>
      </c>
      <c r="E148" s="25" t="s">
        <v>39</v>
      </c>
      <c r="F148" s="25">
        <v>2750</v>
      </c>
      <c r="G148" s="13"/>
      <c r="H148" s="26">
        <f>IF(D148="",0,IF(G148&gt;0,0,IF(E148="A",D148,IF(E148="M",D148*12,IF(E148="W",D148*Lookups!C$9,IF(E148="B",D148*+Lookups!C$10,IF(E148="S",D148*2,IF(AND(D148=0,G148&gt;0),G148,"ERROR"))))))))</f>
        <v>3300</v>
      </c>
      <c r="I148" s="22">
        <v>275</v>
      </c>
      <c r="J148" s="25" t="s">
        <v>39</v>
      </c>
      <c r="K148" s="13"/>
      <c r="L148" s="26">
        <f>IF(I148="",0,IF(K148&gt;0,0,IF(J148="A",I148,IF(J148="M",I148*12,IF(J148="W",I148*Lookups!D$9,IF(J148="B",I148*+Lookups!D$10,IF(J148="S",I148*2,IF(AND(I148=0,K148&gt;0),K148,"ERROR"))))))))</f>
        <v>3300</v>
      </c>
      <c r="M148" s="103">
        <f>IF(OR(AND(L148=0,D148=0),K148&gt;0),"",IF(AND(E148="W",J148="W"),ROUND(L148-(D148*Lookups!$C$9),0),ROUND(+L148-H148,0)))</f>
        <v>0</v>
      </c>
      <c r="N148" s="84" t="str">
        <f t="shared" si="11"/>
        <v>S</v>
      </c>
      <c r="O148" s="97"/>
      <c r="P148" s="61" t="s">
        <v>403</v>
      </c>
      <c r="Q148" s="62" t="s">
        <v>404</v>
      </c>
      <c r="R148" s="62" t="s">
        <v>322</v>
      </c>
      <c r="S148" s="63" t="s">
        <v>323</v>
      </c>
      <c r="T148" s="64">
        <v>53406</v>
      </c>
    </row>
    <row r="149" spans="1:21" x14ac:dyDescent="0.35">
      <c r="B149" s="27" t="s">
        <v>269</v>
      </c>
      <c r="C149" s="4" t="s">
        <v>270</v>
      </c>
      <c r="D149" s="22"/>
      <c r="E149" s="25"/>
      <c r="F149" s="25">
        <v>150</v>
      </c>
      <c r="G149" s="13"/>
      <c r="H149" s="26">
        <f>IF(D149="",0,IF(G149&gt;0,0,IF(E149="A",D149,IF(E149="M",D149*12,IF(E149="W",D149*Lookups!C$9,IF(E149="B",D149*+Lookups!C$10,IF(E149="S",D149*2,IF(AND(D149=0,G149&gt;0),G149,"ERROR"))))))))</f>
        <v>0</v>
      </c>
      <c r="I149" s="22"/>
      <c r="J149" s="25"/>
      <c r="K149" s="13"/>
      <c r="L149" s="26">
        <f>IF(I149="",0,IF(K149&gt;0,0,IF(J149="A",I149,IF(J149="M",I149*12,IF(J149="W",I149*Lookups!D$9,IF(J149="B",I149*+Lookups!D$10,IF(J149="S",I149*2,IF(AND(I149=0,K149&gt;0),K149,"ERROR"))))))))</f>
        <v>0</v>
      </c>
      <c r="M149" s="103" t="str">
        <f>IF(OR(AND(L149=0,D149=0),K149&gt;0),"",IF(AND(E149="W",J149="W"),ROUND(L149-(D149*Lookups!$C$9),0),ROUND(+L149-H149,0)))</f>
        <v/>
      </c>
      <c r="N149" s="84" t="str">
        <f t="shared" si="11"/>
        <v/>
      </c>
      <c r="O149" s="97"/>
    </row>
    <row r="150" spans="1:21" x14ac:dyDescent="0.35">
      <c r="B150" s="24" t="s">
        <v>176</v>
      </c>
      <c r="C150" s="4" t="s">
        <v>177</v>
      </c>
      <c r="D150" s="22"/>
      <c r="E150" s="25"/>
      <c r="F150" s="25">
        <v>946</v>
      </c>
      <c r="G150" s="13">
        <v>1000</v>
      </c>
      <c r="H150" s="26">
        <f>IF(D150="",0,IF(G150&gt;0,0,IF(E150="A",D150,IF(E150="M",D150*12,IF(E150="W",D150*Lookups!C$9,IF(E150="B",D150*+Lookups!C$10,IF(E150="S",D150*2,IF(AND(D150=0,G150&gt;0),G150,"ERROR"))))))))</f>
        <v>0</v>
      </c>
      <c r="I150" s="22">
        <v>50</v>
      </c>
      <c r="J150" s="25" t="s">
        <v>39</v>
      </c>
      <c r="K150" s="13"/>
      <c r="L150" s="26">
        <f>IF(I150="",0,IF(K150&gt;0,0,IF(J150="A",I150,IF(J150="M",I150*12,IF(J150="W",I150*Lookups!D$9,IF(J150="B",I150*+Lookups!D$10,IF(J150="S",I150*2,IF(AND(I150=0,K150&gt;0),K150,"ERROR"))))))))</f>
        <v>600</v>
      </c>
      <c r="M150" s="103">
        <f>IF(OR(AND(L150=0,D150=0),K150&gt;0),"",IF(AND(E150="W",J150="W"),ROUND(L150-(D150*Lookups!$C$9),0),ROUND(+L150-H150,0)))</f>
        <v>600</v>
      </c>
      <c r="N150" s="84" t="str">
        <f t="shared" si="11"/>
        <v>N</v>
      </c>
      <c r="O150" s="97"/>
    </row>
    <row r="151" spans="1:21" x14ac:dyDescent="0.35">
      <c r="B151" s="24" t="s">
        <v>592</v>
      </c>
      <c r="C151" s="4" t="s">
        <v>609</v>
      </c>
      <c r="D151" s="22"/>
      <c r="E151" s="25"/>
      <c r="F151" s="25">
        <f>638+55</f>
        <v>693</v>
      </c>
      <c r="G151" s="13"/>
      <c r="H151" s="26">
        <f>IF(D151="",0,IF(G151&gt;0,0,IF(E151="A",D151,IF(E151="M",D151*12,IF(E151="W",D151*Lookups!C$9,IF(E151="B",D151*+Lookups!C$10,IF(E151="S",D151*2,IF(AND(D151=0,G151&gt;0),G151,"ERROR"))))))))</f>
        <v>0</v>
      </c>
      <c r="I151" s="22">
        <v>2400</v>
      </c>
      <c r="J151" s="25" t="s">
        <v>35</v>
      </c>
      <c r="K151" s="13"/>
      <c r="L151" s="26">
        <f>IF(I151="",0,IF(K151&gt;0,0,IF(J151="A",I151,IF(J151="M",I151*12,IF(J151="W",I151*Lookups!D$9,IF(J151="B",I151*+Lookups!D$10,IF(J151="S",I151*2,IF(AND(I151=0,K151&gt;0),K151,"ERROR"))))))))</f>
        <v>2400</v>
      </c>
      <c r="M151" s="103">
        <f>IF(OR(AND(L151=0,D151=0),K151&gt;0),"",IF(AND(E151="W",J151="W"),ROUND(L151-(D151*Lookups!$C$9),0),ROUND(+L151-H151,0)))</f>
        <v>2400</v>
      </c>
      <c r="N151" s="84" t="str">
        <f t="shared" ref="N151:N152" si="14">IF(K151&gt;0,"E",IF(M151="","",IF(M151=0,"S",IF(AND(M151&gt;0,NOT(D151=0)),"I",IF(AND(M151&gt;0,D151=0),"N",IF(M151&lt;0,"D","ERROR"))))))</f>
        <v>N</v>
      </c>
      <c r="O151" s="97"/>
    </row>
    <row r="152" spans="1:21" x14ac:dyDescent="0.35">
      <c r="B152" s="24" t="s">
        <v>593</v>
      </c>
      <c r="C152" s="4" t="s">
        <v>594</v>
      </c>
      <c r="D152" s="22"/>
      <c r="E152" s="25"/>
      <c r="F152" s="25"/>
      <c r="G152" s="13"/>
      <c r="H152" s="26">
        <f>IF(D152="",0,IF(G152&gt;0,0,IF(E152="A",D152,IF(E152="M",D152*12,IF(E152="W",D152*Lookups!C$9,IF(E152="B",D152*+Lookups!C$10,IF(E152="S",D152*2,IF(AND(D152=0,G152&gt;0),G152,"ERROR"))))))))</f>
        <v>0</v>
      </c>
      <c r="I152" s="22">
        <v>25</v>
      </c>
      <c r="J152" s="25" t="s">
        <v>39</v>
      </c>
      <c r="K152" s="13"/>
      <c r="L152" s="26">
        <f>IF(I152="",0,IF(K152&gt;0,0,IF(J152="A",I152,IF(J152="M",I152*12,IF(J152="W",I152*Lookups!D$9,IF(J152="B",I152*+Lookups!D$10,IF(J152="S",I152*2,IF(AND(I152=0,K152&gt;0),K152,"ERROR"))))))))</f>
        <v>300</v>
      </c>
      <c r="M152" s="103">
        <f>IF(OR(AND(L152=0,D152=0),K152&gt;0),"",IF(AND(E152="W",J152="W"),ROUND(L152-(D152*Lookups!$C$9),0),ROUND(+L152-H152,0)))</f>
        <v>300</v>
      </c>
      <c r="N152" s="84" t="str">
        <f t="shared" si="14"/>
        <v>N</v>
      </c>
      <c r="O152" s="97"/>
    </row>
    <row r="153" spans="1:21" x14ac:dyDescent="0.35">
      <c r="B153" s="27" t="s">
        <v>542</v>
      </c>
      <c r="C153" s="4" t="s">
        <v>543</v>
      </c>
      <c r="D153" s="22"/>
      <c r="E153" s="25"/>
      <c r="F153" s="25">
        <v>750</v>
      </c>
      <c r="G153" s="13"/>
      <c r="H153" s="26">
        <f>IF(D153="",0,IF(G153&gt;0,0,IF(E153="A",D153,IF(E153="M",D153*12,IF(E153="W",D153*Lookups!C$9,IF(E153="B",D153*+Lookups!C$10,IF(E153="S",D153*2,IF(AND(D153=0,G153&gt;0),G153,"ERROR"))))))))</f>
        <v>0</v>
      </c>
      <c r="I153" s="22"/>
      <c r="J153" s="25"/>
      <c r="K153" s="13">
        <v>500</v>
      </c>
      <c r="L153" s="26">
        <f>IF(I153="",0,IF(K153&gt;0,0,IF(J153="A",I153,IF(J153="M",I153*12,IF(J153="W",I153*Lookups!D$9,IF(J153="B",I153*+Lookups!D$10,IF(J153="S",I153*2,IF(AND(I153=0,K153&gt;0),K153,"ERROR"))))))))</f>
        <v>0</v>
      </c>
      <c r="M153" s="103" t="str">
        <f>IF(OR(AND(L153=0,D153=0),K153&gt;0),"",IF(AND(E153="W",J153="W"),ROUND(L153-(D153*Lookups!$C$9),0),ROUND(+L153-H153,0)))</f>
        <v/>
      </c>
      <c r="N153" s="84" t="str">
        <f t="shared" si="11"/>
        <v>E</v>
      </c>
      <c r="O153" s="97"/>
    </row>
    <row r="154" spans="1:21" x14ac:dyDescent="0.35">
      <c r="B154" s="27" t="s">
        <v>610</v>
      </c>
      <c r="C154" s="4" t="s">
        <v>611</v>
      </c>
      <c r="D154" s="22"/>
      <c r="E154" s="25"/>
      <c r="F154" s="25">
        <v>180</v>
      </c>
      <c r="G154" s="13"/>
      <c r="H154" s="26">
        <f>IF(D154="",0,IF(G154&gt;0,0,IF(E154="A",D154,IF(E154="M",D154*12,IF(E154="W",D154*Lookups!C$9,IF(E154="B",D154*+Lookups!C$10,IF(E154="S",D154*2,IF(AND(D154=0,G154&gt;0),G154,"ERROR"))))))))</f>
        <v>0</v>
      </c>
      <c r="I154" s="22"/>
      <c r="J154" s="25"/>
      <c r="K154" s="13"/>
      <c r="L154" s="26">
        <f>IF(I154="",0,IF(K154&gt;0,0,IF(J154="A",I154,IF(J154="M",I154*12,IF(J154="W",I154*Lookups!D$9,IF(J154="B",I154*+Lookups!D$10,IF(J154="S",I154*2,IF(AND(I154=0,K154&gt;0),K154,"ERROR"))))))))</f>
        <v>0</v>
      </c>
      <c r="M154" s="103" t="str">
        <f>IF(OR(AND(L154=0,D154=0),K154&gt;0),"",IF(AND(E154="W",J154="W"),ROUND(L154-(D154*Lookups!$C$9),0),ROUND(+L154-H154,0)))</f>
        <v/>
      </c>
      <c r="N154" s="84" t="str">
        <f t="shared" ref="N154" si="15">IF(K154&gt;0,"E",IF(M154="","",IF(M154=0,"S",IF(AND(M154&gt;0,NOT(D154=0)),"I",IF(AND(M154&gt;0,D154=0),"N",IF(M154&lt;0,"D","ERROR"))))))</f>
        <v/>
      </c>
      <c r="O154" s="97"/>
    </row>
    <row r="155" spans="1:21" x14ac:dyDescent="0.35">
      <c r="B155" s="27" t="s">
        <v>178</v>
      </c>
      <c r="C155" s="4" t="s">
        <v>179</v>
      </c>
      <c r="D155" s="22">
        <v>100</v>
      </c>
      <c r="E155" s="25" t="s">
        <v>39</v>
      </c>
      <c r="F155" s="25">
        <v>1100</v>
      </c>
      <c r="G155" s="13"/>
      <c r="H155" s="26">
        <f>IF(D155="",0,IF(G155&gt;0,0,IF(E155="A",D155,IF(E155="M",D155*12,IF(E155="W",D155*Lookups!C$9,IF(E155="B",D155*+Lookups!C$10,IF(E155="S",D155*2,IF(AND(D155=0,G155&gt;0),G155,"ERROR"))))))))</f>
        <v>1200</v>
      </c>
      <c r="I155" s="22">
        <v>100</v>
      </c>
      <c r="J155" s="25" t="s">
        <v>39</v>
      </c>
      <c r="K155" s="13"/>
      <c r="L155" s="26">
        <f>IF(I155="",0,IF(K155&gt;0,0,IF(J155="A",I155,IF(J155="M",I155*12,IF(J155="W",I155*Lookups!D$9,IF(J155="B",I155*+Lookups!D$10,IF(J155="S",I155*2,IF(AND(I155=0,K155&gt;0),K155,"ERROR"))))))))</f>
        <v>1200</v>
      </c>
      <c r="M155" s="103">
        <f>IF(OR(AND(L155=0,D155=0),K155&gt;0),"",IF(AND(E155="W",J155="W"),ROUND(L155-(D155*Lookups!$C$9),0),ROUND(+L155-H155,0)))</f>
        <v>0</v>
      </c>
      <c r="N155" s="84" t="str">
        <f t="shared" si="11"/>
        <v>S</v>
      </c>
      <c r="O155" s="97"/>
      <c r="P155" s="61" t="s">
        <v>516</v>
      </c>
      <c r="Q155" s="62" t="s">
        <v>405</v>
      </c>
      <c r="R155" s="62" t="s">
        <v>346</v>
      </c>
      <c r="S155" s="63" t="s">
        <v>323</v>
      </c>
      <c r="T155" s="64">
        <v>53182</v>
      </c>
    </row>
    <row r="156" spans="1:21" x14ac:dyDescent="0.35">
      <c r="B156" s="27" t="s">
        <v>180</v>
      </c>
      <c r="C156" s="4" t="s">
        <v>518</v>
      </c>
      <c r="D156" s="22">
        <v>50</v>
      </c>
      <c r="E156" s="25" t="s">
        <v>38</v>
      </c>
      <c r="F156" s="25">
        <v>900</v>
      </c>
      <c r="G156" s="13"/>
      <c r="H156" s="26">
        <f>IF(D156="",0,IF(G156&gt;0,0,IF(E156="A",D156,IF(E156="M",D156*12,IF(E156="W",D156*Lookups!C$9,IF(E156="B",D156*+Lookups!C$10,IF(E156="S",D156*2,IF(AND(D156=0,G156&gt;0),G156,"ERROR"))))))))</f>
        <v>2600</v>
      </c>
      <c r="I156" s="22"/>
      <c r="J156" s="25"/>
      <c r="K156" s="13">
        <v>1000</v>
      </c>
      <c r="L156" s="26">
        <f>IF(I156="",0,IF(K156&gt;0,0,IF(J156="A",I156,IF(J156="M",I156*12,IF(J156="W",I156*Lookups!D$9,IF(J156="B",I156*+Lookups!D$10,IF(J156="S",I156*2,IF(AND(I156=0,K156&gt;0),K156,"ERROR"))))))))</f>
        <v>0</v>
      </c>
      <c r="M156" s="103" t="str">
        <f>IF(OR(AND(L156=0,D156=0),K156&gt;0),"",IF(AND(E156="W",J156="W"),ROUND(L156-(D156*Lookups!$C$9),0),ROUND(+L156-H156,0)))</f>
        <v/>
      </c>
      <c r="N156" s="84" t="str">
        <f t="shared" si="11"/>
        <v>E</v>
      </c>
      <c r="O156" s="97"/>
      <c r="P156" s="61" t="s">
        <v>517</v>
      </c>
      <c r="Q156" s="62" t="s">
        <v>519</v>
      </c>
      <c r="R156" s="62" t="s">
        <v>338</v>
      </c>
      <c r="S156" s="63" t="s">
        <v>323</v>
      </c>
      <c r="T156" s="64">
        <v>53108</v>
      </c>
    </row>
    <row r="157" spans="1:21" x14ac:dyDescent="0.35">
      <c r="B157" s="27" t="s">
        <v>271</v>
      </c>
      <c r="C157" s="4" t="s">
        <v>595</v>
      </c>
      <c r="D157" s="22"/>
      <c r="E157" s="25"/>
      <c r="F157" s="25">
        <v>300</v>
      </c>
      <c r="G157" s="13"/>
      <c r="H157" s="26">
        <f>IF(D157="",0,IF(G157&gt;0,0,IF(E157="A",D157,IF(E157="M",D157*12,IF(E157="W",D157*Lookups!C$9,IF(E157="B",D157*+Lookups!C$10,IF(E157="S",D157*2,IF(AND(D157=0,G157&gt;0),G157,"ERROR"))))))))</f>
        <v>0</v>
      </c>
      <c r="I157" s="22">
        <v>200</v>
      </c>
      <c r="J157" s="25" t="s">
        <v>39</v>
      </c>
      <c r="K157" s="13"/>
      <c r="L157" s="26">
        <f>IF(I157="",0,IF(K157&gt;0,0,IF(J157="A",I157,IF(J157="M",I157*12,IF(J157="W",I157*Lookups!D$9,IF(J157="B",I157*+Lookups!D$10,IF(J157="S",I157*2,IF(AND(I157=0,K157&gt;0),K157,"ERROR"))))))))</f>
        <v>2400</v>
      </c>
      <c r="M157" s="103">
        <f>IF(OR(AND(L157=0,D157=0),K157&gt;0),"",IF(AND(E157="W",J157="W"),ROUND(L157-(D157*Lookups!$C$9),0),ROUND(+L157-H157,0)))</f>
        <v>2400</v>
      </c>
      <c r="N157" s="84" t="str">
        <f t="shared" si="11"/>
        <v>N</v>
      </c>
      <c r="O157" s="97"/>
    </row>
    <row r="158" spans="1:21" x14ac:dyDescent="0.35">
      <c r="B158" s="27" t="s">
        <v>612</v>
      </c>
      <c r="C158" s="4" t="s">
        <v>613</v>
      </c>
      <c r="D158" s="22"/>
      <c r="E158" s="25"/>
      <c r="F158" s="25">
        <v>450</v>
      </c>
      <c r="G158" s="13"/>
      <c r="H158" s="26">
        <f>IF(D158="",0,IF(G158&gt;0,0,IF(E158="A",D158,IF(E158="M",D158*12,IF(E158="W",D158*Lookups!C$9,IF(E158="B",D158*+Lookups!C$10,IF(E158="S",D158*2,IF(AND(D158=0,G158&gt;0),G158,"ERROR"))))))))</f>
        <v>0</v>
      </c>
      <c r="I158" s="22"/>
      <c r="J158" s="25"/>
      <c r="K158" s="13">
        <v>300</v>
      </c>
      <c r="L158" s="26">
        <f>IF(I158="",0,IF(K158&gt;0,0,IF(J158="A",I158,IF(J158="M",I158*12,IF(J158="W",I158*Lookups!D$9,IF(J158="B",I158*+Lookups!D$10,IF(J158="S",I158*2,IF(AND(I158=0,K158&gt;0),K158,"ERROR"))))))))</f>
        <v>0</v>
      </c>
      <c r="M158" s="103" t="str">
        <f>IF(OR(AND(L158=0,D158=0),K158&gt;0),"",IF(AND(E158="W",J158="W"),ROUND(L158-(D158*Lookups!$C$9),0),ROUND(+L158-H158,0)))</f>
        <v/>
      </c>
      <c r="N158" s="84" t="str">
        <f t="shared" si="11"/>
        <v>E</v>
      </c>
      <c r="O158" s="97"/>
    </row>
    <row r="159" spans="1:21" s="104" customFormat="1" x14ac:dyDescent="0.35">
      <c r="A159" s="114"/>
      <c r="B159" s="78" t="s">
        <v>273</v>
      </c>
      <c r="C159" s="79" t="s">
        <v>274</v>
      </c>
      <c r="D159" s="81"/>
      <c r="E159" s="83"/>
      <c r="F159" s="83">
        <v>765</v>
      </c>
      <c r="G159" s="80"/>
      <c r="H159" s="82">
        <f>IF(D159="",0,IF(G159&gt;0,0,IF(E159="A",D159,IF(E159="M",D159*12,IF(E159="W",D159*Lookups!C$9,IF(E159="B",D159*+Lookups!C$10,IF(E159="S",D159*2,IF(AND(D159=0,G159&gt;0),G159,"ERROR"))))))))</f>
        <v>0</v>
      </c>
      <c r="I159" s="81"/>
      <c r="J159" s="83"/>
      <c r="K159" s="80">
        <v>600</v>
      </c>
      <c r="L159" s="82">
        <f>IF(I159="",0,IF(K159&gt;0,0,IF(J159="A",I159,IF(J159="M",I159*12,IF(J159="W",I159*Lookups!D$9,IF(J159="B",I159*+Lookups!D$10,IF(J159="S",I159*2,IF(AND(I159=0,K159&gt;0),K159,"ERROR"))))))))</f>
        <v>0</v>
      </c>
      <c r="M159" s="103" t="str">
        <f>IF(OR(AND(L159=0,D159=0),K159&gt;0),"",IF(AND(E159="W",J159="W"),ROUND(L159-(D159*Lookups!$C$9),0),ROUND(+L159-H159,0)))</f>
        <v/>
      </c>
      <c r="N159" s="84" t="str">
        <f t="shared" si="11"/>
        <v>E</v>
      </c>
      <c r="O159" s="98"/>
      <c r="P159" s="144" t="s">
        <v>406</v>
      </c>
      <c r="Q159" s="85" t="s">
        <v>407</v>
      </c>
      <c r="R159" s="85" t="s">
        <v>408</v>
      </c>
      <c r="S159" s="86" t="s">
        <v>323</v>
      </c>
      <c r="T159" s="87">
        <v>54495</v>
      </c>
      <c r="U159" s="85" t="s">
        <v>409</v>
      </c>
    </row>
    <row r="160" spans="1:21" x14ac:dyDescent="0.35">
      <c r="B160" s="27" t="s">
        <v>181</v>
      </c>
      <c r="C160" s="4" t="s">
        <v>182</v>
      </c>
      <c r="D160" s="22">
        <v>10</v>
      </c>
      <c r="E160" s="25" t="s">
        <v>38</v>
      </c>
      <c r="F160" s="25">
        <v>430</v>
      </c>
      <c r="G160" s="13"/>
      <c r="H160" s="26">
        <f>IF(D160="",0,IF(G160&gt;0,0,IF(E160="A",D160,IF(E160="M",D160*12,IF(E160="W",D160*Lookups!C$9,IF(E160="B",D160*+Lookups!C$10,IF(E160="S",D160*2,IF(AND(D160=0,G160&gt;0),G160,"ERROR"))))))))</f>
        <v>520</v>
      </c>
      <c r="I160" s="22">
        <v>10</v>
      </c>
      <c r="J160" s="25" t="s">
        <v>38</v>
      </c>
      <c r="K160" s="13"/>
      <c r="L160" s="26">
        <f>IF(I160="",0,IF(K160&gt;0,0,IF(J160="A",I160,IF(J160="M",I160*12,IF(J160="W",I160*Lookups!D$9,IF(J160="B",I160*+Lookups!D$10,IF(J160="S",I160*2,IF(AND(I160=0,K160&gt;0),K160,"ERROR"))))))))</f>
        <v>520</v>
      </c>
      <c r="M160" s="103">
        <f>IF(OR(AND(L160=0,D160=0),K160&gt;0),"",IF(AND(E160="W",J160="W"),ROUND(L160-(D160*Lookups!$C$9),0),ROUND(+L160-H160,0)))</f>
        <v>0</v>
      </c>
      <c r="N160" s="84" t="str">
        <f t="shared" si="11"/>
        <v>S</v>
      </c>
      <c r="O160" s="97"/>
      <c r="Q160" s="62" t="s">
        <v>412</v>
      </c>
      <c r="R160" s="62" t="s">
        <v>344</v>
      </c>
      <c r="S160" s="63" t="s">
        <v>323</v>
      </c>
      <c r="T160" s="64">
        <v>53405</v>
      </c>
    </row>
    <row r="161" spans="1:20" s="104" customFormat="1" x14ac:dyDescent="0.35">
      <c r="A161" s="114"/>
      <c r="B161" s="78" t="s">
        <v>275</v>
      </c>
      <c r="C161" s="79" t="s">
        <v>276</v>
      </c>
      <c r="D161" s="81"/>
      <c r="E161" s="83"/>
      <c r="F161" s="83">
        <v>1135</v>
      </c>
      <c r="G161" s="80"/>
      <c r="H161" s="82">
        <f>IF(D161="",0,IF(G161&gt;0,0,IF(E161="A",D161,IF(E161="M",D161*12,IF(E161="W",D161*Lookups!C$9,IF(E161="B",D161*+Lookups!C$10,IF(E161="S",D161*2,IF(AND(D161=0,G161&gt;0),G161,"ERROR"))))))))</f>
        <v>0</v>
      </c>
      <c r="I161" s="81">
        <v>1800</v>
      </c>
      <c r="J161" s="83" t="s">
        <v>35</v>
      </c>
      <c r="K161" s="80"/>
      <c r="L161" s="82">
        <f>IF(I161="",0,IF(K161&gt;0,0,IF(J161="A",I161,IF(J161="M",I161*12,IF(J161="W",I161*Lookups!D$9,IF(J161="B",I161*+Lookups!D$10,IF(J161="S",I161*2,IF(AND(I161=0,K161&gt;0),K161,"ERROR"))))))))</f>
        <v>1800</v>
      </c>
      <c r="M161" s="103">
        <f>IF(OR(AND(L161=0,D161=0),K161&gt;0),"",IF(AND(E161="W",J161="W"),ROUND(L161-(D161*Lookups!$C$9),0),ROUND(+L161-H161,0)))</f>
        <v>1800</v>
      </c>
      <c r="N161" s="84" t="str">
        <f t="shared" si="11"/>
        <v>N</v>
      </c>
      <c r="O161" s="98"/>
      <c r="P161" s="85" t="s">
        <v>426</v>
      </c>
      <c r="Q161" s="85"/>
      <c r="R161" s="85"/>
      <c r="S161" s="86"/>
      <c r="T161" s="87"/>
    </row>
    <row r="162" spans="1:20" s="104" customFormat="1" x14ac:dyDescent="0.35">
      <c r="A162" s="114"/>
      <c r="B162" s="78" t="s">
        <v>614</v>
      </c>
      <c r="C162" s="79" t="s">
        <v>615</v>
      </c>
      <c r="D162" s="81"/>
      <c r="E162" s="83"/>
      <c r="F162" s="83">
        <v>1000</v>
      </c>
      <c r="G162" s="80"/>
      <c r="H162" s="82"/>
      <c r="I162" s="81"/>
      <c r="J162" s="83"/>
      <c r="K162" s="80"/>
      <c r="L162" s="82"/>
      <c r="M162" s="103"/>
      <c r="N162" s="84"/>
      <c r="O162" s="98"/>
      <c r="P162" s="85"/>
      <c r="Q162" s="85"/>
      <c r="R162" s="85"/>
      <c r="S162" s="86"/>
      <c r="T162" s="87"/>
    </row>
    <row r="163" spans="1:20" x14ac:dyDescent="0.35">
      <c r="B163" s="24" t="s">
        <v>277</v>
      </c>
      <c r="C163" s="4" t="s">
        <v>278</v>
      </c>
      <c r="D163" s="22"/>
      <c r="E163" s="25"/>
      <c r="F163" s="25">
        <v>600</v>
      </c>
      <c r="G163" s="13">
        <v>600</v>
      </c>
      <c r="H163" s="26">
        <f>IF(D163="",0,IF(G163&gt;0,0,IF(E163="A",D163,IF(E163="M",D163*12,IF(E163="W",D163*Lookups!C$9,IF(E163="B",D163*+Lookups!C$10,IF(E163="S",D163*2,IF(AND(D163=0,G163&gt;0),G163,"ERROR"))))))))</f>
        <v>0</v>
      </c>
      <c r="I163" s="22"/>
      <c r="J163" s="25"/>
      <c r="K163" s="13">
        <v>500</v>
      </c>
      <c r="L163" s="26">
        <f>IF(I163="",0,IF(K163&gt;0,0,IF(J163="A",I163,IF(J163="M",I163*12,IF(J163="W",I163*Lookups!D$9,IF(J163="B",I163*+Lookups!D$10,IF(J163="S",I163*2,IF(AND(I163=0,K163&gt;0),K163,"ERROR"))))))))</f>
        <v>0</v>
      </c>
      <c r="M163" s="103" t="str">
        <f>IF(OR(AND(L163=0,D163=0),K163&gt;0),"",IF(AND(E163="W",J163="W"),ROUND(L163-(D163*Lookups!$C$9),0),ROUND(+L163-H163,0)))</f>
        <v/>
      </c>
      <c r="N163" s="84" t="str">
        <f t="shared" si="11"/>
        <v>E</v>
      </c>
      <c r="O163" s="97"/>
    </row>
    <row r="164" spans="1:20" x14ac:dyDescent="0.35">
      <c r="B164" s="24" t="s">
        <v>279</v>
      </c>
      <c r="C164" s="4" t="s">
        <v>280</v>
      </c>
      <c r="D164" s="22"/>
      <c r="E164" s="25"/>
      <c r="F164" s="25">
        <v>660</v>
      </c>
      <c r="G164" s="13">
        <f>110*52</f>
        <v>5720</v>
      </c>
      <c r="H164" s="26">
        <f>IF(D164="",0,IF(G164&gt;0,0,IF(E164="A",D164,IF(E164="M",D164*12,IF(E164="W",D164*Lookups!C$9,IF(E164="B",D164*+Lookups!C$10,IF(E164="S",D164*2,IF(AND(D164=0,G164&gt;0),G164,"ERROR"))))))))</f>
        <v>0</v>
      </c>
      <c r="I164" s="22"/>
      <c r="J164" s="25"/>
      <c r="K164" s="13"/>
      <c r="L164" s="26">
        <f>IF(I164="",0,IF(K164&gt;0,0,IF(J164="A",I164,IF(J164="M",I164*12,IF(J164="W",I164*Lookups!D$9,IF(J164="B",I164*+Lookups!D$10,IF(J164="S",I164*2,IF(AND(I164=0,K164&gt;0),K164,"ERROR"))))))))</f>
        <v>0</v>
      </c>
      <c r="M164" s="103" t="str">
        <f>IF(OR(AND(L164=0,D164=0),K164&gt;0),"",IF(AND(E164="W",J164="W"),ROUND(L164-(D164*Lookups!$C$9),0),ROUND(+L164-H164,0)))</f>
        <v/>
      </c>
      <c r="N164" s="84" t="str">
        <f t="shared" si="11"/>
        <v/>
      </c>
      <c r="O164" s="97"/>
    </row>
    <row r="165" spans="1:20" x14ac:dyDescent="0.35">
      <c r="B165" s="27" t="s">
        <v>183</v>
      </c>
      <c r="C165" s="4" t="s">
        <v>184</v>
      </c>
      <c r="D165" s="22"/>
      <c r="E165" s="25"/>
      <c r="F165" s="25">
        <v>100</v>
      </c>
      <c r="G165" s="13"/>
      <c r="H165" s="26">
        <f>IF(D165="",0,IF(G165&gt;0,0,IF(E165="A",D165,IF(E165="M",D165*12,IF(E165="W",D165*Lookups!C$9,IF(E165="B",D165*+Lookups!C$10,IF(E165="S",D165*2,IF(AND(D165=0,G165&gt;0),G165,"ERROR"))))))))</f>
        <v>0</v>
      </c>
      <c r="I165" s="22"/>
      <c r="J165" s="25"/>
      <c r="K165" s="13"/>
      <c r="L165" s="26">
        <f>IF(I165="",0,IF(K165&gt;0,0,IF(J165="A",I165,IF(J165="M",I165*12,IF(J165="W",I165*Lookups!D$9,IF(J165="B",I165*+Lookups!D$10,IF(J165="S",I165*2,IF(AND(I165=0,K165&gt;0),K165,"ERROR"))))))))</f>
        <v>0</v>
      </c>
      <c r="M165" s="103" t="str">
        <f>IF(OR(AND(L165=0,D165=0),K165&gt;0),"",IF(AND(E165="W",J165="W"),ROUND(L165-(D165*Lookups!$C$9),0),ROUND(+L165-H165,0)))</f>
        <v/>
      </c>
      <c r="N165" s="84" t="str">
        <f t="shared" si="11"/>
        <v/>
      </c>
      <c r="O165" s="97"/>
    </row>
    <row r="166" spans="1:20" x14ac:dyDescent="0.35">
      <c r="B166" s="27" t="s">
        <v>281</v>
      </c>
      <c r="C166" s="4" t="s">
        <v>282</v>
      </c>
      <c r="D166" s="22"/>
      <c r="E166" s="25"/>
      <c r="F166" s="25">
        <v>1600</v>
      </c>
      <c r="G166" s="13">
        <f>100*12</f>
        <v>1200</v>
      </c>
      <c r="H166" s="26">
        <f>IF(D166="",0,IF(G166&gt;0,0,IF(E166="A",D166,IF(E166="M",D166*12,IF(E166="W",D166*Lookups!C$9,IF(E166="B",D166*+Lookups!C$10,IF(E166="S",D166*2,IF(AND(D166=0,G166&gt;0),G166,"ERROR"))))))))</f>
        <v>0</v>
      </c>
      <c r="I166" s="22"/>
      <c r="J166" s="25"/>
      <c r="K166" s="13">
        <v>1200</v>
      </c>
      <c r="L166" s="26">
        <f>IF(I166="",0,IF(K166&gt;0,0,IF(J166="A",I166,IF(J166="M",I166*12,IF(J166="W",I166*Lookups!D$9,IF(J166="B",I166*+Lookups!D$10,IF(J166="S",I166*2,IF(AND(I166=0,K166&gt;0),K166,"ERROR"))))))))</f>
        <v>0</v>
      </c>
      <c r="M166" s="103" t="str">
        <f>IF(OR(AND(L166=0,D166=0),K166&gt;0),"",IF(AND(E166="W",J166="W"),ROUND(L166-(D166*Lookups!$C$9),0),ROUND(+L166-H166,0)))</f>
        <v/>
      </c>
      <c r="N166" s="84" t="str">
        <f t="shared" si="11"/>
        <v>E</v>
      </c>
      <c r="O166" s="97"/>
    </row>
    <row r="167" spans="1:20" x14ac:dyDescent="0.35">
      <c r="B167" s="27" t="s">
        <v>185</v>
      </c>
      <c r="C167" s="4" t="s">
        <v>186</v>
      </c>
      <c r="D167" s="22">
        <v>20</v>
      </c>
      <c r="E167" s="25" t="s">
        <v>38</v>
      </c>
      <c r="F167" s="25">
        <v>870</v>
      </c>
      <c r="G167" s="13"/>
      <c r="H167" s="26">
        <f>IF(D167="",0,IF(G167&gt;0,0,IF(E167="A",D167,IF(E167="M",D167*12,IF(E167="W",D167*Lookups!C$9,IF(E167="B",D167*+Lookups!C$10,IF(E167="S",D167*2,IF(AND(D167=0,G167&gt;0),G167,"ERROR"))))))))</f>
        <v>1040</v>
      </c>
      <c r="I167" s="22">
        <v>20</v>
      </c>
      <c r="J167" s="25" t="s">
        <v>38</v>
      </c>
      <c r="K167" s="13"/>
      <c r="L167" s="26">
        <f>IF(I167="",0,IF(K167&gt;0,0,IF(J167="A",I167,IF(J167="M",I167*12,IF(J167="W",I167*Lookups!D$9,IF(J167="B",I167*+Lookups!D$10,IF(J167="S",I167*2,IF(AND(I167=0,K167&gt;0),K167,"ERROR"))))))))</f>
        <v>1040</v>
      </c>
      <c r="M167" s="103">
        <f>IF(OR(AND(L167=0,D167=0),K167&gt;0),"",IF(AND(E167="W",J167="W"),ROUND(L167-(D167*Lookups!$C$9),0),ROUND(+L167-H167,0)))</f>
        <v>0</v>
      </c>
      <c r="N167" s="84" t="str">
        <f t="shared" si="11"/>
        <v>S</v>
      </c>
      <c r="O167" s="97"/>
      <c r="P167" s="61" t="s">
        <v>410</v>
      </c>
      <c r="Q167" s="62" t="s">
        <v>411</v>
      </c>
      <c r="R167" s="62" t="s">
        <v>344</v>
      </c>
      <c r="S167" s="63" t="s">
        <v>323</v>
      </c>
      <c r="T167" s="64">
        <v>53405</v>
      </c>
    </row>
    <row r="168" spans="1:20" x14ac:dyDescent="0.35">
      <c r="B168" s="27" t="s">
        <v>283</v>
      </c>
      <c r="C168" s="4" t="s">
        <v>284</v>
      </c>
      <c r="D168" s="22"/>
      <c r="E168" s="25"/>
      <c r="F168" s="25">
        <v>250</v>
      </c>
      <c r="G168" s="13"/>
      <c r="H168" s="26">
        <f>IF(D168="",0,IF(G168&gt;0,0,IF(E168="A",D168,IF(E168="M",D168*12,IF(E168="W",D168*Lookups!C$9,IF(E168="B",D168*+Lookups!C$10,IF(E168="S",D168*2,IF(AND(D168=0,G168&gt;0),G168,"ERROR"))))))))</f>
        <v>0</v>
      </c>
      <c r="I168" s="22">
        <v>25</v>
      </c>
      <c r="J168" s="25" t="s">
        <v>39</v>
      </c>
      <c r="K168" s="13"/>
      <c r="L168" s="26">
        <f>IF(I168="",0,IF(K168&gt;0,0,IF(J168="A",I168,IF(J168="M",I168*12,IF(J168="W",I168*Lookups!D$9,IF(J168="B",I168*+Lookups!D$10,IF(J168="S",I168*2,IF(AND(I168=0,K168&gt;0),K168,"ERROR"))))))))</f>
        <v>300</v>
      </c>
      <c r="M168" s="103">
        <f>IF(OR(AND(L168=0,D168=0),K168&gt;0),"",IF(AND(E168="W",J168="W"),ROUND(L168-(D168*Lookups!$C$9),0),ROUND(+L168-H168,0)))</f>
        <v>300</v>
      </c>
      <c r="N168" s="84" t="str">
        <f t="shared" si="11"/>
        <v>N</v>
      </c>
      <c r="O168" s="97"/>
    </row>
    <row r="169" spans="1:20" x14ac:dyDescent="0.35">
      <c r="B169" s="27" t="s">
        <v>187</v>
      </c>
      <c r="C169" s="4" t="s">
        <v>188</v>
      </c>
      <c r="D169" s="22">
        <v>25</v>
      </c>
      <c r="E169" s="25" t="s">
        <v>38</v>
      </c>
      <c r="F169" s="25">
        <v>991</v>
      </c>
      <c r="G169" s="13"/>
      <c r="H169" s="26">
        <f>IF(D169="",0,IF(G169&gt;0,0,IF(E169="A",D169,IF(E169="M",D169*12,IF(E169="W",D169*Lookups!C$9,IF(E169="B",D169*+Lookups!C$10,IF(E169="S",D169*2,IF(AND(D169=0,G169&gt;0),G169,"ERROR"))))))))</f>
        <v>1300</v>
      </c>
      <c r="I169" s="22">
        <v>28</v>
      </c>
      <c r="J169" s="25" t="s">
        <v>38</v>
      </c>
      <c r="K169" s="13"/>
      <c r="L169" s="26">
        <f>IF(I169="",0,IF(K169&gt;0,0,IF(J169="A",I169,IF(J169="M",I169*12,IF(J169="W",I169*Lookups!D$9,IF(J169="B",I169*+Lookups!D$10,IF(J169="S",I169*2,IF(AND(I169=0,K169&gt;0),K169,"ERROR"))))))))</f>
        <v>1456</v>
      </c>
      <c r="M169" s="103">
        <f>IF(OR(AND(L169=0,D169=0),K169&gt;0),"",IF(AND(E169="W",J169="W"),ROUND(L169-(D169*Lookups!$C$9),0),ROUND(+L169-H169,0)))</f>
        <v>156</v>
      </c>
      <c r="N169" s="84" t="str">
        <f t="shared" si="11"/>
        <v>I</v>
      </c>
      <c r="O169" s="97"/>
      <c r="P169" s="61" t="s">
        <v>520</v>
      </c>
      <c r="Q169" s="62" t="s">
        <v>521</v>
      </c>
      <c r="R169" s="62" t="s">
        <v>344</v>
      </c>
      <c r="S169" s="63" t="s">
        <v>323</v>
      </c>
      <c r="T169" s="64">
        <v>53404</v>
      </c>
    </row>
    <row r="170" spans="1:20" x14ac:dyDescent="0.35">
      <c r="B170" s="27" t="s">
        <v>285</v>
      </c>
      <c r="C170" s="4" t="s">
        <v>616</v>
      </c>
      <c r="D170" s="22"/>
      <c r="E170" s="25"/>
      <c r="F170" s="25">
        <v>2000</v>
      </c>
      <c r="G170" s="13">
        <v>2000</v>
      </c>
      <c r="H170" s="26">
        <f>IF(D170="",0,IF(G170&gt;0,0,IF(E170="A",D170,IF(E170="M",D170*12,IF(E170="W",D170*Lookups!C$9,IF(E170="B",D170*+Lookups!C$10,IF(E170="S",D170*2,IF(AND(D170=0,G170&gt;0),G170,"ERROR"))))))))</f>
        <v>0</v>
      </c>
      <c r="I170" s="22"/>
      <c r="J170" s="25"/>
      <c r="K170" s="13">
        <v>2000</v>
      </c>
      <c r="L170" s="26">
        <f>IF(I170="",0,IF(K170&gt;0,0,IF(J170="A",I170,IF(J170="M",I170*12,IF(J170="W",I170*Lookups!D$9,IF(J170="B",I170*+Lookups!D$10,IF(J170="S",I170*2,IF(AND(I170=0,K170&gt;0),K170,"ERROR"))))))))</f>
        <v>0</v>
      </c>
      <c r="M170" s="103" t="str">
        <f>IF(OR(AND(L170=0,D170=0),K170&gt;0),"",IF(AND(E170="W",J170="W"),ROUND(L170-(D170*Lookups!$C$9),0),ROUND(+L170-H170,0)))</f>
        <v/>
      </c>
      <c r="N170" s="84" t="str">
        <f t="shared" si="11"/>
        <v>E</v>
      </c>
      <c r="O170" s="97"/>
    </row>
    <row r="171" spans="1:20" x14ac:dyDescent="0.35">
      <c r="B171" s="27" t="s">
        <v>596</v>
      </c>
      <c r="C171" s="4" t="s">
        <v>617</v>
      </c>
      <c r="D171" s="22"/>
      <c r="E171" s="25"/>
      <c r="F171" s="25">
        <v>2100</v>
      </c>
      <c r="G171" s="13"/>
      <c r="H171" s="26">
        <f>IF(D171="",0,IF(G171&gt;0,0,IF(E171="A",D171,IF(E171="M",D171*12,IF(E171="W",D171*Lookups!C$9,IF(E171="B",D171*+Lookups!C$10,IF(E171="S",D171*2,IF(AND(D171=0,G171&gt;0),G171,"ERROR"))))))))</f>
        <v>0</v>
      </c>
      <c r="I171" s="22"/>
      <c r="J171" s="25"/>
      <c r="K171" s="13">
        <v>2000</v>
      </c>
      <c r="L171" s="26">
        <f>IF(I171="",0,IF(K171&gt;0,0,IF(J171="A",I171,IF(J171="M",I171*12,IF(J171="W",I171*Lookups!D$9,IF(J171="B",I171*+Lookups!D$10,IF(J171="S",I171*2,IF(AND(I171=0,K171&gt;0),K171,"ERROR"))))))))</f>
        <v>0</v>
      </c>
      <c r="M171" s="103" t="str">
        <f>IF(OR(AND(L171=0,D171=0),K171&gt;0),"",IF(AND(E171="W",J171="W"),ROUND(L171-(D171*Lookups!$C$9),0),ROUND(+L171-H171,0)))</f>
        <v/>
      </c>
      <c r="N171" s="84" t="str">
        <f t="shared" si="11"/>
        <v>E</v>
      </c>
      <c r="O171" s="97"/>
    </row>
    <row r="172" spans="1:20" x14ac:dyDescent="0.35">
      <c r="B172" s="27" t="s">
        <v>596</v>
      </c>
      <c r="C172" s="4" t="s">
        <v>597</v>
      </c>
      <c r="D172" s="22"/>
      <c r="E172" s="25"/>
      <c r="F172" s="25">
        <v>162</v>
      </c>
      <c r="G172" s="13"/>
      <c r="H172" s="26">
        <f>IF(D172="",0,IF(G172&gt;0,0,IF(E172="A",D172,IF(E172="M",D172*12,IF(E172="W",D172*Lookups!C$9,IF(E172="B",D172*+Lookups!C$10,IF(E172="S",D172*2,IF(AND(D172=0,G172&gt;0),G172,"ERROR"))))))))</f>
        <v>0</v>
      </c>
      <c r="I172" s="22">
        <v>500</v>
      </c>
      <c r="J172" s="25" t="s">
        <v>35</v>
      </c>
      <c r="K172" s="13"/>
      <c r="L172" s="26">
        <f>IF(I172="",0,IF(K172&gt;0,0,IF(J172="A",I172,IF(J172="M",I172*12,IF(J172="W",I172*Lookups!D$9,IF(J172="B",I172*+Lookups!D$10,IF(J172="S",I172*2,IF(AND(I172=0,K172&gt;0),K172,"ERROR"))))))))</f>
        <v>500</v>
      </c>
      <c r="M172" s="103">
        <f>IF(OR(AND(L172=0,D172=0),K172&gt;0),"",IF(AND(E172="W",J172="W"),ROUND(L172-(D172*Lookups!$C$9),0),ROUND(+L172-H172,0)))</f>
        <v>500</v>
      </c>
      <c r="N172" s="84" t="str">
        <f t="shared" ref="N172" si="16">IF(K172&gt;0,"E",IF(M172="","",IF(M172=0,"S",IF(AND(M172&gt;0,NOT(D172=0)),"I",IF(AND(M172&gt;0,D172=0),"N",IF(M172&lt;0,"D","ERROR"))))))</f>
        <v>N</v>
      </c>
      <c r="O172" s="97"/>
    </row>
    <row r="173" spans="1:20" x14ac:dyDescent="0.35">
      <c r="B173" s="27" t="s">
        <v>286</v>
      </c>
      <c r="C173" s="4" t="s">
        <v>287</v>
      </c>
      <c r="D173" s="22"/>
      <c r="E173" s="25"/>
      <c r="F173" s="25">
        <v>100</v>
      </c>
      <c r="G173" s="13"/>
      <c r="H173" s="26">
        <f>IF(D173="",0,IF(G173&gt;0,0,IF(E173="A",D173,IF(E173="M",D173*12,IF(E173="W",D173*Lookups!C$9,IF(E173="B",D173*+Lookups!C$10,IF(E173="S",D173*2,IF(AND(D173=0,G173&gt;0),G173,"ERROR"))))))))</f>
        <v>0</v>
      </c>
      <c r="I173" s="22"/>
      <c r="J173" s="25"/>
      <c r="K173" s="13"/>
      <c r="L173" s="26">
        <f>IF(I173="",0,IF(K173&gt;0,0,IF(J173="A",I173,IF(J173="M",I173*12,IF(J173="W",I173*Lookups!D$9,IF(J173="B",I173*+Lookups!D$10,IF(J173="S",I173*2,IF(AND(I173=0,K173&gt;0),K173,"ERROR"))))))))</f>
        <v>0</v>
      </c>
      <c r="M173" s="103" t="str">
        <f>IF(OR(AND(L173=0,D173=0),K173&gt;0),"",IF(AND(E173="W",J173="W"),ROUND(L173-(D173*Lookups!$C$9),0),ROUND(+L173-H173,0)))</f>
        <v/>
      </c>
      <c r="N173" s="84" t="str">
        <f t="shared" si="11"/>
        <v/>
      </c>
      <c r="O173" s="97"/>
    </row>
    <row r="174" spans="1:20" x14ac:dyDescent="0.35">
      <c r="B174" s="24" t="s">
        <v>189</v>
      </c>
      <c r="C174" s="4" t="s">
        <v>190</v>
      </c>
      <c r="D174" s="22">
        <v>60</v>
      </c>
      <c r="E174" s="25" t="s">
        <v>38</v>
      </c>
      <c r="F174" s="25">
        <v>2640</v>
      </c>
      <c r="G174" s="13"/>
      <c r="H174" s="26">
        <f>IF(D174="",0,IF(G174&gt;0,0,IF(E174="A",D174,IF(E174="M",D174*12,IF(E174="W",D174*Lookups!C$9,IF(E174="B",D174*+Lookups!C$10,IF(E174="S",D174*2,IF(AND(D174=0,G174&gt;0),G174,"ERROR"))))))))</f>
        <v>3120</v>
      </c>
      <c r="I174" s="22">
        <v>70</v>
      </c>
      <c r="J174" s="25" t="s">
        <v>38</v>
      </c>
      <c r="K174" s="13"/>
      <c r="L174" s="26">
        <f>IF(I174="",0,IF(K174&gt;0,0,IF(J174="A",I174,IF(J174="M",I174*12,IF(J174="W",I174*Lookups!D$9,IF(J174="B",I174*+Lookups!D$10,IF(J174="S",I174*2,IF(AND(I174=0,K174&gt;0),K174,"ERROR"))))))))</f>
        <v>3640</v>
      </c>
      <c r="M174" s="103">
        <f>IF(OR(AND(L174=0,D174=0),K174&gt;0),"",IF(AND(E174="W",J174="W"),ROUND(L174-(D174*Lookups!$C$9),0),ROUND(+L174-H174,0)))</f>
        <v>520</v>
      </c>
      <c r="N174" s="84" t="str">
        <f t="shared" ref="N174:N195" si="17">IF(K174&gt;0,"E",IF(M174="","",IF(M174=0,"S",IF(AND(M174&gt;0,NOT(D174=0)),"I",IF(AND(M174&gt;0,D174=0),"N",IF(M174&lt;0,"D","ERROR"))))))</f>
        <v>I</v>
      </c>
      <c r="O174" s="97"/>
      <c r="P174" s="61" t="s">
        <v>413</v>
      </c>
      <c r="Q174" s="62" t="s">
        <v>414</v>
      </c>
      <c r="R174" s="62" t="s">
        <v>344</v>
      </c>
      <c r="S174" s="63" t="s">
        <v>323</v>
      </c>
      <c r="T174" s="64">
        <v>53405</v>
      </c>
    </row>
    <row r="175" spans="1:20" x14ac:dyDescent="0.35">
      <c r="B175" s="27" t="s">
        <v>191</v>
      </c>
      <c r="C175" s="4" t="s">
        <v>192</v>
      </c>
      <c r="D175" s="22">
        <v>145</v>
      </c>
      <c r="E175" s="25" t="s">
        <v>39</v>
      </c>
      <c r="F175" s="25">
        <v>1460</v>
      </c>
      <c r="G175" s="13"/>
      <c r="H175" s="26">
        <f>IF(D175="",0,IF(G175&gt;0,0,IF(E175="A",D175,IF(E175="M",D175*12,IF(E175="W",D175*Lookups!C$9,IF(E175="B",D175*+Lookups!C$10,IF(E175="S",D175*2,IF(AND(D175=0,G175&gt;0),G175,"ERROR"))))))))</f>
        <v>1740</v>
      </c>
      <c r="I175" s="22">
        <v>145</v>
      </c>
      <c r="J175" s="25" t="s">
        <v>39</v>
      </c>
      <c r="K175" s="13"/>
      <c r="L175" s="26">
        <f>IF(I175="",0,IF(K175&gt;0,0,IF(J175="A",I175,IF(J175="M",I175*12,IF(J175="W",I175*Lookups!D$9,IF(J175="B",I175*+Lookups!D$10,IF(J175="S",I175*2,IF(AND(I175=0,K175&gt;0),K175,"ERROR"))))))))</f>
        <v>1740</v>
      </c>
      <c r="M175" s="103">
        <f>IF(OR(AND(L175=0,D175=0),K175&gt;0),"",IF(AND(E175="W",J175="W"),ROUND(L175-(D175*Lookups!$C$9),0),ROUND(+L175-H175,0)))</f>
        <v>0</v>
      </c>
      <c r="N175" s="84" t="str">
        <f t="shared" si="17"/>
        <v>S</v>
      </c>
      <c r="O175" s="97"/>
      <c r="Q175" s="62" t="s">
        <v>522</v>
      </c>
      <c r="R175" s="62" t="s">
        <v>344</v>
      </c>
      <c r="S175" s="63" t="s">
        <v>323</v>
      </c>
      <c r="T175" s="64">
        <v>53402</v>
      </c>
    </row>
    <row r="176" spans="1:20" x14ac:dyDescent="0.35">
      <c r="B176" s="27" t="s">
        <v>619</v>
      </c>
      <c r="C176" s="4" t="s">
        <v>262</v>
      </c>
      <c r="D176" s="22"/>
      <c r="E176" s="25"/>
      <c r="F176" s="25">
        <v>450</v>
      </c>
      <c r="G176" s="13"/>
      <c r="H176" s="26">
        <f>IF(D176="",0,IF(G176&gt;0,0,IF(E176="A",D176,IF(E176="M",D176*12,IF(E176="W",D176*Lookups!C$9,IF(E176="B",D176*+Lookups!C$10,IF(E176="S",D176*2,IF(AND(D176=0,G176&gt;0),G176,"ERROR"))))))))</f>
        <v>0</v>
      </c>
      <c r="I176" s="22"/>
      <c r="J176" s="25"/>
      <c r="K176" s="13">
        <v>350</v>
      </c>
      <c r="L176" s="26">
        <f>IF(I176="",0,IF(K176&gt;0,0,IF(J176="A",I176,IF(J176="M",I176*12,IF(J176="W",I176*Lookups!D$9,IF(J176="B",I176*+Lookups!D$10,IF(J176="S",I176*2,IF(AND(I176=0,K176&gt;0),K176,"ERROR"))))))))</f>
        <v>0</v>
      </c>
      <c r="M176" s="103" t="str">
        <f>IF(OR(AND(L176=0,D176=0),K176&gt;0),"",IF(AND(E176="W",J176="W"),ROUND(L176-(D176*Lookups!$C$9),0),ROUND(+L176-H176,0)))</f>
        <v/>
      </c>
      <c r="N176" s="84" t="str">
        <f t="shared" ref="N176" si="18">IF(K176&gt;0,"E",IF(M176="","",IF(M176=0,"S",IF(AND(M176&gt;0,NOT(D176=0)),"I",IF(AND(M176&gt;0,D176=0),"N",IF(M176&lt;0,"D","ERROR"))))))</f>
        <v>E</v>
      </c>
      <c r="O176" s="97"/>
      <c r="Q176" s="62" t="s">
        <v>618</v>
      </c>
      <c r="R176" s="62" t="s">
        <v>344</v>
      </c>
      <c r="S176" s="63" t="s">
        <v>323</v>
      </c>
      <c r="T176" s="64">
        <v>53403</v>
      </c>
    </row>
    <row r="177" spans="2:20" x14ac:dyDescent="0.35">
      <c r="B177" s="27" t="s">
        <v>193</v>
      </c>
      <c r="C177" s="4" t="s">
        <v>18</v>
      </c>
      <c r="D177" s="22">
        <v>10000</v>
      </c>
      <c r="E177" s="25" t="s">
        <v>35</v>
      </c>
      <c r="F177" s="25">
        <v>15000</v>
      </c>
      <c r="G177" s="13"/>
      <c r="H177" s="26">
        <f>IF(D177="",0,IF(G177&gt;0,0,IF(E177="A",D177,IF(E177="M",D177*12,IF(E177="W",D177*Lookups!C$9,IF(E177="B",D177*+Lookups!C$10,IF(E177="S",D177*2,IF(AND(D177=0,G177&gt;0),G177,"ERROR"))))))))</f>
        <v>10000</v>
      </c>
      <c r="I177" s="22">
        <v>15000</v>
      </c>
      <c r="J177" s="25" t="s">
        <v>35</v>
      </c>
      <c r="K177" s="13"/>
      <c r="L177" s="26">
        <f>IF(I177="",0,IF(K177&gt;0,0,IF(J177="A",I177,IF(J177="M",I177*12,IF(J177="W",I177*Lookups!D$9,IF(J177="B",I177*+Lookups!D$10,IF(J177="S",I177*2,IF(AND(I177=0,K177&gt;0),K177,"ERROR"))))))))</f>
        <v>15000</v>
      </c>
      <c r="M177" s="103">
        <f>IF(OR(AND(L177=0,D177=0),K177&gt;0),"",IF(AND(E177="W",J177="W"),ROUND(L177-(D177*Lookups!$C$9),0),ROUND(+L177-H177,0)))</f>
        <v>5000</v>
      </c>
      <c r="N177" s="84" t="str">
        <f t="shared" si="17"/>
        <v>I</v>
      </c>
      <c r="O177" s="97"/>
      <c r="P177" s="61" t="s">
        <v>523</v>
      </c>
      <c r="Q177" s="62" t="s">
        <v>524</v>
      </c>
      <c r="R177" s="62" t="s">
        <v>475</v>
      </c>
      <c r="S177" s="63" t="s">
        <v>323</v>
      </c>
      <c r="T177" s="64">
        <v>53406</v>
      </c>
    </row>
    <row r="178" spans="2:20" x14ac:dyDescent="0.35">
      <c r="B178" s="27" t="s">
        <v>194</v>
      </c>
      <c r="C178" s="4" t="s">
        <v>195</v>
      </c>
      <c r="D178" s="22">
        <v>1500</v>
      </c>
      <c r="E178" s="25" t="s">
        <v>35</v>
      </c>
      <c r="F178" s="25">
        <v>1450</v>
      </c>
      <c r="G178" s="13"/>
      <c r="H178" s="26">
        <f>IF(D178="",0,IF(G178&gt;0,0,IF(E178="A",D178,IF(E178="M",D178*12,IF(E178="W",D178*Lookups!C$9,IF(E178="B",D178*+Lookups!C$10,IF(E178="S",D178*2,IF(AND(D178=0,G178&gt;0),G178,"ERROR"))))))))</f>
        <v>1500</v>
      </c>
      <c r="I178" s="22">
        <v>1600</v>
      </c>
      <c r="J178" s="25" t="s">
        <v>35</v>
      </c>
      <c r="K178" s="13"/>
      <c r="L178" s="26">
        <f>IF(I178="",0,IF(K178&gt;0,0,IF(J178="A",I178,IF(J178="M",I178*12,IF(J178="W",I178*Lookups!D$9,IF(J178="B",I178*+Lookups!D$10,IF(J178="S",I178*2,IF(AND(I178=0,K178&gt;0),K178,"ERROR"))))))))</f>
        <v>1600</v>
      </c>
      <c r="M178" s="103">
        <f>IF(OR(AND(L178=0,D178=0),K178&gt;0),"",IF(AND(E178="W",J178="W"),ROUND(L178-(D178*Lookups!$C$9),0),ROUND(+L178-H178,0)))</f>
        <v>100</v>
      </c>
      <c r="N178" s="84" t="str">
        <f t="shared" si="17"/>
        <v>I</v>
      </c>
      <c r="O178" s="97"/>
      <c r="P178" s="61" t="s">
        <v>571</v>
      </c>
      <c r="Q178" s="62" t="s">
        <v>572</v>
      </c>
      <c r="R178" s="62" t="s">
        <v>344</v>
      </c>
      <c r="S178" s="63" t="s">
        <v>323</v>
      </c>
      <c r="T178" s="64">
        <v>53402</v>
      </c>
    </row>
    <row r="179" spans="2:20" x14ac:dyDescent="0.35">
      <c r="B179" s="27" t="s">
        <v>598</v>
      </c>
      <c r="C179" s="4" t="s">
        <v>30</v>
      </c>
      <c r="D179" s="22"/>
      <c r="E179" s="25"/>
      <c r="F179" s="25">
        <v>400</v>
      </c>
      <c r="G179" s="13"/>
      <c r="H179" s="26">
        <f>IF(D179="",0,IF(G179&gt;0,0,IF(E179="A",D179,IF(E179="M",D179*12,IF(E179="W",D179*Lookups!C$9,IF(E179="B",D179*+Lookups!C$10,IF(E179="S",D179*2,IF(AND(D179=0,G179&gt;0),G179,"ERROR"))))))))</f>
        <v>0</v>
      </c>
      <c r="I179" s="22">
        <v>100</v>
      </c>
      <c r="J179" s="25" t="s">
        <v>39</v>
      </c>
      <c r="K179" s="13"/>
      <c r="L179" s="26">
        <f>IF(I179="",0,IF(K179&gt;0,0,IF(J179="A",I179,IF(J179="M",I179*12,IF(J179="W",I179*Lookups!D$9,IF(J179="B",I179*+Lookups!D$10,IF(J179="S",I179*2,IF(AND(I179=0,K179&gt;0),K179,"ERROR"))))))))</f>
        <v>1200</v>
      </c>
      <c r="M179" s="103">
        <f>IF(OR(AND(L179=0,D179=0),K179&gt;0),"",IF(AND(E179="W",J179="W"),ROUND(L179-(D179*Lookups!$C$9),0),ROUND(+L179-H179,0)))</f>
        <v>1200</v>
      </c>
      <c r="N179" s="84" t="str">
        <f t="shared" ref="N179" si="19">IF(K179&gt;0,"E",IF(M179="","",IF(M179=0,"S",IF(AND(M179&gt;0,NOT(D179=0)),"I",IF(AND(M179&gt;0,D179=0),"N",IF(M179&lt;0,"D","ERROR"))))))</f>
        <v>N</v>
      </c>
      <c r="O179" s="97"/>
    </row>
    <row r="180" spans="2:20" x14ac:dyDescent="0.35">
      <c r="B180" s="27" t="s">
        <v>573</v>
      </c>
      <c r="C180" s="4" t="s">
        <v>18</v>
      </c>
      <c r="D180" s="22">
        <v>70</v>
      </c>
      <c r="E180" s="25" t="s">
        <v>39</v>
      </c>
      <c r="F180" s="25">
        <v>695</v>
      </c>
      <c r="G180" s="13"/>
      <c r="H180" s="26">
        <f>IF(D180="",0,IF(G180&gt;0,0,IF(E180="A",D180,IF(E180="M",D180*12,IF(E180="W",D180*Lookups!C$9,IF(E180="B",D180*+Lookups!C$10,IF(E180="S",D180*2,IF(AND(D180=0,G180&gt;0),G180,"ERROR"))))))))</f>
        <v>840</v>
      </c>
      <c r="I180" s="22">
        <v>75</v>
      </c>
      <c r="J180" s="25" t="s">
        <v>39</v>
      </c>
      <c r="K180" s="13"/>
      <c r="L180" s="26">
        <f>IF(I180="",0,IF(K180&gt;0,0,IF(J180="A",I180,IF(J180="M",I180*12,IF(J180="W",I180*Lookups!D$9,IF(J180="B",I180*+Lookups!D$10,IF(J180="S",I180*2,IF(AND(I180=0,K180&gt;0),K180,"ERROR"))))))))</f>
        <v>900</v>
      </c>
      <c r="M180" s="103">
        <f>IF(OR(AND(L180=0,D180=0),K180&gt;0),"",IF(AND(E180="W",J180="W"),ROUND(L180-(D180*Lookups!$C$9),0),ROUND(+L180-H180,0)))</f>
        <v>60</v>
      </c>
      <c r="N180" s="84" t="str">
        <f t="shared" si="17"/>
        <v>I</v>
      </c>
      <c r="O180" s="97"/>
      <c r="P180" s="61" t="s">
        <v>365</v>
      </c>
      <c r="Q180" s="62" t="s">
        <v>366</v>
      </c>
      <c r="R180" s="62" t="s">
        <v>322</v>
      </c>
      <c r="S180" s="63" t="s">
        <v>323</v>
      </c>
      <c r="T180" s="64">
        <v>53406</v>
      </c>
    </row>
    <row r="181" spans="2:20" x14ac:dyDescent="0.35">
      <c r="B181" s="27" t="s">
        <v>288</v>
      </c>
      <c r="C181" s="4" t="s">
        <v>289</v>
      </c>
      <c r="D181" s="22"/>
      <c r="E181" s="25"/>
      <c r="F181" s="25">
        <v>50</v>
      </c>
      <c r="G181" s="13"/>
      <c r="H181" s="26">
        <f>IF(D181="",0,IF(G181&gt;0,0,IF(E181="A",D181,IF(E181="M",D181*12,IF(E181="W",D181*Lookups!C$9,IF(E181="B",D181*+Lookups!C$10,IF(E181="S",D181*2,IF(AND(D181=0,G181&gt;0),G181,"ERROR"))))))))</f>
        <v>0</v>
      </c>
      <c r="I181" s="22"/>
      <c r="J181" s="25"/>
      <c r="K181" s="13"/>
      <c r="L181" s="26">
        <f>IF(I181="",0,IF(K181&gt;0,0,IF(J181="A",I181,IF(J181="M",I181*12,IF(J181="W",I181*Lookups!D$9,IF(J181="B",I181*+Lookups!D$10,IF(J181="S",I181*2,IF(AND(I181=0,K181&gt;0),K181,"ERROR"))))))))</f>
        <v>0</v>
      </c>
      <c r="M181" s="103" t="str">
        <f>IF(OR(AND(L181=0,D181=0),K181&gt;0),"",IF(AND(E181="W",J181="W"),ROUND(L181-(D181*Lookups!$C$9),0),ROUND(+L181-H181,0)))</f>
        <v/>
      </c>
      <c r="N181" s="84" t="str">
        <f t="shared" si="17"/>
        <v/>
      </c>
      <c r="O181" s="97"/>
    </row>
    <row r="182" spans="2:20" x14ac:dyDescent="0.35">
      <c r="B182" s="27" t="s">
        <v>196</v>
      </c>
      <c r="C182" s="4" t="s">
        <v>197</v>
      </c>
      <c r="D182" s="22">
        <v>20</v>
      </c>
      <c r="E182" s="25" t="s">
        <v>38</v>
      </c>
      <c r="F182" s="25">
        <v>860</v>
      </c>
      <c r="G182" s="13"/>
      <c r="H182" s="26">
        <f>IF(D182="",0,IF(G182&gt;0,0,IF(E182="A",D182,IF(E182="M",D182*12,IF(E182="W",D182*Lookups!C$9,IF(E182="B",D182*+Lookups!C$10,IF(E182="S",D182*2,IF(AND(D182=0,G182&gt;0),G182,"ERROR"))))))))</f>
        <v>1040</v>
      </c>
      <c r="I182" s="22">
        <v>20</v>
      </c>
      <c r="J182" s="25" t="s">
        <v>38</v>
      </c>
      <c r="K182" s="13"/>
      <c r="L182" s="26">
        <f>IF(I182="",0,IF(K182&gt;0,0,IF(J182="A",I182,IF(J182="M",I182*12,IF(J182="W",I182*Lookups!D$9,IF(J182="B",I182*+Lookups!D$10,IF(J182="S",I182*2,IF(AND(I182=0,K182&gt;0),K182,"ERROR"))))))))</f>
        <v>1040</v>
      </c>
      <c r="M182" s="103">
        <f>IF(OR(AND(L182=0,D182=0),K182&gt;0),"",IF(AND(E182="W",J182="W"),ROUND(L182-(D182*Lookups!$C$9),0),ROUND(+L182-H182,0)))</f>
        <v>0</v>
      </c>
      <c r="N182" s="84" t="str">
        <f t="shared" si="17"/>
        <v>S</v>
      </c>
      <c r="O182" s="97"/>
      <c r="P182" s="61" t="s">
        <v>525</v>
      </c>
      <c r="Q182" s="62" t="s">
        <v>526</v>
      </c>
      <c r="R182" s="62" t="s">
        <v>475</v>
      </c>
      <c r="S182" s="63" t="s">
        <v>323</v>
      </c>
      <c r="T182" s="64">
        <v>53406</v>
      </c>
    </row>
    <row r="183" spans="2:20" x14ac:dyDescent="0.35">
      <c r="B183" s="27" t="s">
        <v>199</v>
      </c>
      <c r="C183" s="4" t="s">
        <v>200</v>
      </c>
      <c r="D183" s="22">
        <v>425</v>
      </c>
      <c r="E183" s="25" t="s">
        <v>39</v>
      </c>
      <c r="F183" s="25">
        <v>4675</v>
      </c>
      <c r="G183" s="13"/>
      <c r="H183" s="26">
        <f>IF(D183="",0,IF(G183&gt;0,0,IF(E183="A",D183,IF(E183="M",D183*12,IF(E183="W",D183*Lookups!C$9,IF(E183="B",D183*+Lookups!C$10,IF(E183="S",D183*2,IF(AND(D183=0,G183&gt;0),G183,"ERROR"))))))))</f>
        <v>5100</v>
      </c>
      <c r="I183" s="22">
        <v>425</v>
      </c>
      <c r="J183" s="25" t="s">
        <v>39</v>
      </c>
      <c r="K183" s="13"/>
      <c r="L183" s="26">
        <f>IF(I183="",0,IF(K183&gt;0,0,IF(J183="A",I183,IF(J183="M",I183*12,IF(J183="W",I183*Lookups!D$9,IF(J183="B",I183*+Lookups!D$10,IF(J183="S",I183*2,IF(AND(I183=0,K183&gt;0),K183,"ERROR"))))))))</f>
        <v>5100</v>
      </c>
      <c r="M183" s="103">
        <f>IF(OR(AND(L183=0,D183=0),K183&gt;0),"",IF(AND(E183="W",J183="W"),ROUND(L183-(D183*Lookups!$C$9),0),ROUND(+L183-H183,0)))</f>
        <v>0</v>
      </c>
      <c r="N183" s="84" t="str">
        <f t="shared" si="17"/>
        <v>S</v>
      </c>
      <c r="O183" s="97"/>
      <c r="P183" s="61" t="s">
        <v>527</v>
      </c>
      <c r="Q183" s="62" t="s">
        <v>528</v>
      </c>
      <c r="R183" s="62" t="s">
        <v>344</v>
      </c>
      <c r="S183" s="63" t="s">
        <v>323</v>
      </c>
      <c r="T183" s="64">
        <v>53402</v>
      </c>
    </row>
    <row r="184" spans="2:20" x14ac:dyDescent="0.35">
      <c r="B184" s="27" t="s">
        <v>201</v>
      </c>
      <c r="C184" s="4" t="s">
        <v>198</v>
      </c>
      <c r="D184" s="22">
        <v>95</v>
      </c>
      <c r="E184" s="25" t="s">
        <v>39</v>
      </c>
      <c r="F184" s="25">
        <v>1000</v>
      </c>
      <c r="G184" s="13"/>
      <c r="H184" s="26">
        <f>IF(D184="",0,IF(G184&gt;0,0,IF(E184="A",D184,IF(E184="M",D184*12,IF(E184="W",D184*Lookups!C$9,IF(E184="B",D184*+Lookups!C$10,IF(E184="S",D184*2,IF(AND(D184=0,G184&gt;0),G184,"ERROR"))))))))</f>
        <v>1140</v>
      </c>
      <c r="I184" s="22">
        <v>110</v>
      </c>
      <c r="J184" s="25" t="s">
        <v>39</v>
      </c>
      <c r="K184" s="13"/>
      <c r="L184" s="26">
        <f>IF(I184="",0,IF(K184&gt;0,0,IF(J184="A",I184,IF(J184="M",I184*12,IF(J184="W",I184*Lookups!D$9,IF(J184="B",I184*+Lookups!D$10,IF(J184="S",I184*2,IF(AND(I184=0,K184&gt;0),K184,"ERROR"))))))))</f>
        <v>1320</v>
      </c>
      <c r="M184" s="103">
        <f>IF(OR(AND(L184=0,D184=0),K184&gt;0),"",IF(AND(E184="W",J184="W"),ROUND(L184-(D184*Lookups!$C$9),0),ROUND(+L184-H184,0)))</f>
        <v>180</v>
      </c>
      <c r="N184" s="84" t="str">
        <f t="shared" si="17"/>
        <v>I</v>
      </c>
      <c r="O184" s="97"/>
      <c r="P184" s="61" t="s">
        <v>529</v>
      </c>
      <c r="Q184" s="62" t="s">
        <v>530</v>
      </c>
      <c r="R184" s="62" t="s">
        <v>344</v>
      </c>
      <c r="S184" s="63" t="s">
        <v>323</v>
      </c>
      <c r="T184" s="64">
        <v>53402</v>
      </c>
    </row>
    <row r="185" spans="2:20" x14ac:dyDescent="0.35">
      <c r="B185" s="103" t="s">
        <v>202</v>
      </c>
      <c r="C185" s="79" t="s">
        <v>621</v>
      </c>
      <c r="D185" s="81"/>
      <c r="E185" s="83"/>
      <c r="F185" s="83">
        <v>499</v>
      </c>
      <c r="G185" s="80"/>
      <c r="H185" s="26">
        <f>IF(D185="",0,IF(G185&gt;0,0,IF(E185="A",D185,IF(E185="M",D185*12,IF(E185="W",D185*Lookups!C$9,IF(E185="B",D185*+Lookups!C$10,IF(E185="S",D185*2,IF(AND(D185=0,G185&gt;0),G185,"ERROR"))))))))</f>
        <v>0</v>
      </c>
      <c r="I185" s="81"/>
      <c r="J185" s="83"/>
      <c r="K185" s="80">
        <v>300</v>
      </c>
      <c r="L185" s="26">
        <f>IF(I185="",0,IF(K185&gt;0,0,IF(J185="A",I185,IF(J185="M",I185*12,IF(J185="W",I185*Lookups!D$9,IF(J185="B",I185*+Lookups!D$10,IF(J185="S",I185*2,IF(AND(I185=0,K185&gt;0),K185,"ERROR"))))))))</f>
        <v>0</v>
      </c>
      <c r="M185" s="103" t="str">
        <f>IF(OR(AND(L185=0,D185=0),K185&gt;0),"",IF(AND(E185="W",J185="W"),ROUND(L185-(D185*Lookups!$C$9),0),ROUND(+L185-H185,0)))</f>
        <v/>
      </c>
      <c r="N185" s="84" t="str">
        <f t="shared" ref="N185" si="20">IF(K185&gt;0,"E",IF(M185="","",IF(M185=0,"S",IF(AND(M185&gt;0,NOT(D185=0)),"I",IF(AND(M185&gt;0,D185=0),"N",IF(M185&lt;0,"D","ERROR"))))))</f>
        <v>E</v>
      </c>
      <c r="O185" s="98"/>
      <c r="P185" s="85"/>
      <c r="Q185" s="85"/>
      <c r="R185" s="85"/>
      <c r="S185" s="86"/>
      <c r="T185" s="87"/>
    </row>
    <row r="186" spans="2:20" x14ac:dyDescent="0.35">
      <c r="B186" s="103" t="s">
        <v>202</v>
      </c>
      <c r="C186" s="79" t="s">
        <v>620</v>
      </c>
      <c r="D186" s="81">
        <v>50</v>
      </c>
      <c r="E186" s="83" t="s">
        <v>39</v>
      </c>
      <c r="F186" s="83">
        <v>700</v>
      </c>
      <c r="G186" s="80"/>
      <c r="H186" s="26">
        <f>IF(D186="",0,IF(G186&gt;0,0,IF(E186="A",D186,IF(E186="M",D186*12,IF(E186="W",D186*Lookups!C$9,IF(E186="B",D186*+Lookups!C$10,IF(E186="S",D186*2,IF(AND(D186=0,G186&gt;0),G186,"ERROR"))))))))</f>
        <v>600</v>
      </c>
      <c r="I186" s="81">
        <v>50</v>
      </c>
      <c r="J186" s="83" t="s">
        <v>39</v>
      </c>
      <c r="K186" s="80"/>
      <c r="L186" s="26">
        <f>IF(I186="",0,IF(K186&gt;0,0,IF(J186="A",I186,IF(J186="M",I186*12,IF(J186="W",I186*Lookups!D$9,IF(J186="B",I186*+Lookups!D$10,IF(J186="S",I186*2,IF(AND(I186=0,K186&gt;0),K186,"ERROR"))))))))</f>
        <v>600</v>
      </c>
      <c r="M186" s="103">
        <f>IF(OR(AND(L186=0,D186=0),K186&gt;0),"",IF(AND(E186="W",J186="W"),ROUND(L186-(D186*Lookups!$C$9),0),ROUND(+L186-H186,0)))</f>
        <v>0</v>
      </c>
      <c r="N186" s="84" t="str">
        <f t="shared" si="17"/>
        <v>S</v>
      </c>
      <c r="O186" s="98"/>
      <c r="P186" s="85"/>
      <c r="Q186" s="85"/>
      <c r="R186" s="85"/>
      <c r="S186" s="86"/>
      <c r="T186" s="87"/>
    </row>
    <row r="187" spans="2:20" x14ac:dyDescent="0.35">
      <c r="B187" s="78" t="s">
        <v>202</v>
      </c>
      <c r="C187" s="79" t="s">
        <v>544</v>
      </c>
      <c r="D187" s="81"/>
      <c r="E187" s="83"/>
      <c r="F187" s="83">
        <v>1450</v>
      </c>
      <c r="G187" s="80"/>
      <c r="H187" s="26">
        <f>IF(D187="",0,IF(G187&gt;0,0,IF(E187="A",D187,IF(E187="M",D187*12,IF(E187="W",D187*Lookups!C$9,IF(E187="B",D187*+Lookups!C$10,IF(E187="S",D187*2,IF(AND(D187=0,G187&gt;0),G187,"ERROR"))))))))</f>
        <v>0</v>
      </c>
      <c r="I187" s="81">
        <v>200</v>
      </c>
      <c r="J187" s="83" t="s">
        <v>39</v>
      </c>
      <c r="K187" s="80"/>
      <c r="L187" s="26">
        <f>IF(I187="",0,IF(K187&gt;0,0,IF(J187="A",I187,IF(J187="M",I187*12,IF(J187="W",I187*Lookups!D$9,IF(J187="B",I187*+Lookups!D$10,IF(J187="S",I187*2,IF(AND(I187=0,K187&gt;0),K187,"ERROR"))))))))</f>
        <v>2400</v>
      </c>
      <c r="M187" s="103">
        <f>IF(OR(AND(L187=0,D187=0),K187&gt;0),"",IF(AND(E187="W",J187="W"),ROUND(L187-(D187*Lookups!$C$9),0),ROUND(+L187-H187,0)))</f>
        <v>2400</v>
      </c>
      <c r="N187" s="84" t="str">
        <f t="shared" si="17"/>
        <v>N</v>
      </c>
      <c r="O187" s="98"/>
      <c r="P187" s="85"/>
      <c r="Q187" s="85"/>
      <c r="R187" s="85"/>
      <c r="S187" s="86"/>
      <c r="T187" s="87"/>
    </row>
    <row r="188" spans="2:20" x14ac:dyDescent="0.35">
      <c r="B188" s="24" t="s">
        <v>203</v>
      </c>
      <c r="C188" s="4" t="s">
        <v>204</v>
      </c>
      <c r="D188" s="22"/>
      <c r="E188" s="25"/>
      <c r="F188" s="25">
        <v>2150</v>
      </c>
      <c r="G188" s="13">
        <f>50*52</f>
        <v>2600</v>
      </c>
      <c r="H188" s="26">
        <f>IF(D188="",0,IF(G188&gt;0,0,IF(E188="A",D188,IF(E188="M",D188*12,IF(E188="W",D188*Lookups!C$9,IF(E188="B",D188*+Lookups!C$10,IF(E188="S",D188*2,IF(AND(D188=0,G188&gt;0),G188,"ERROR"))))))))</f>
        <v>0</v>
      </c>
      <c r="I188" s="22">
        <v>55</v>
      </c>
      <c r="J188" s="25" t="s">
        <v>38</v>
      </c>
      <c r="K188" s="13">
        <v>2000</v>
      </c>
      <c r="L188" s="26">
        <f>IF(I188="",0,IF(K188&gt;0,0,IF(J188="A",I188,IF(J188="M",I188*12,IF(J188="W",I188*Lookups!D$9,IF(J188="B",I188*+Lookups!D$10,IF(J188="S",I188*2,IF(AND(I188=0,K188&gt;0),K188,"ERROR"))))))))</f>
        <v>0</v>
      </c>
      <c r="M188" s="103" t="str">
        <f>IF(OR(AND(L188=0,D188=0),K188&gt;0),"",IF(AND(E188="W",J188="W"),ROUND(L188-(D188*Lookups!$C$9),0),ROUND(+L188-H188,0)))</f>
        <v/>
      </c>
      <c r="N188" s="84" t="str">
        <f t="shared" si="17"/>
        <v>E</v>
      </c>
      <c r="O188" s="97"/>
      <c r="P188" s="61" t="s">
        <v>415</v>
      </c>
      <c r="Q188" s="62" t="s">
        <v>416</v>
      </c>
      <c r="R188" s="62" t="s">
        <v>322</v>
      </c>
      <c r="S188" s="63" t="s">
        <v>323</v>
      </c>
      <c r="T188" s="64">
        <v>53406</v>
      </c>
    </row>
    <row r="189" spans="2:20" x14ac:dyDescent="0.35">
      <c r="B189" s="27" t="s">
        <v>205</v>
      </c>
      <c r="C189" s="4" t="s">
        <v>206</v>
      </c>
      <c r="D189" s="22">
        <v>80</v>
      </c>
      <c r="E189" s="25" t="s">
        <v>38</v>
      </c>
      <c r="F189" s="25">
        <v>3360</v>
      </c>
      <c r="G189" s="13"/>
      <c r="H189" s="26">
        <f>IF(D189="",0,IF(G189&gt;0,0,IF(E189="A",D189,IF(E189="M",D189*12,IF(E189="W",D189*Lookups!C$9,IF(E189="B",D189*+Lookups!C$10,IF(E189="S",D189*2,IF(AND(D189=0,G189&gt;0),G189,"ERROR"))))))))</f>
        <v>4160</v>
      </c>
      <c r="I189" s="22">
        <v>80</v>
      </c>
      <c r="J189" s="25" t="s">
        <v>38</v>
      </c>
      <c r="K189" s="13"/>
      <c r="L189" s="26">
        <f>IF(I189="",0,IF(K189&gt;0,0,IF(J189="A",I189,IF(J189="M",I189*12,IF(J189="W",I189*Lookups!D$9,IF(J189="B",I189*+Lookups!D$10,IF(J189="S",I189*2,IF(AND(I189=0,K189&gt;0),K189,"ERROR"))))))))</f>
        <v>4160</v>
      </c>
      <c r="M189" s="103">
        <f>IF(OR(AND(L189=0,D189=0),K189&gt;0),"",IF(AND(E189="W",J189="W"),ROUND(L189-(D189*Lookups!$C$9),0),ROUND(+L189-H189,0)))</f>
        <v>0</v>
      </c>
      <c r="N189" s="84" t="str">
        <f t="shared" si="17"/>
        <v>S</v>
      </c>
      <c r="O189" s="97"/>
      <c r="Q189" s="67" t="s">
        <v>417</v>
      </c>
      <c r="R189" s="62" t="s">
        <v>344</v>
      </c>
      <c r="S189" s="63" t="s">
        <v>323</v>
      </c>
      <c r="T189" s="64">
        <v>53403</v>
      </c>
    </row>
    <row r="190" spans="2:20" x14ac:dyDescent="0.35">
      <c r="B190" s="24" t="s">
        <v>207</v>
      </c>
      <c r="C190" s="4" t="s">
        <v>208</v>
      </c>
      <c r="D190" s="22">
        <v>450</v>
      </c>
      <c r="E190" s="25" t="s">
        <v>39</v>
      </c>
      <c r="F190" s="25">
        <v>4600</v>
      </c>
      <c r="G190" s="13"/>
      <c r="H190" s="26">
        <f>IF(D190="",0,IF(G190&gt;0,0,IF(E190="A",D190,IF(E190="M",D190*12,IF(E190="W",D190*Lookups!C$9,IF(E190="B",D190*+Lookups!C$10,IF(E190="S",D190*2,IF(AND(D190=0,G190&gt;0),G190,"ERROR"))))))))</f>
        <v>5400</v>
      </c>
      <c r="I190" s="22">
        <v>500</v>
      </c>
      <c r="J190" s="25" t="s">
        <v>39</v>
      </c>
      <c r="K190" s="13"/>
      <c r="L190" s="26">
        <f>IF(I190="",0,IF(K190&gt;0,0,IF(J190="A",I190,IF(J190="M",I190*12,IF(J190="W",I190*Lookups!D$9,IF(J190="B",I190*+Lookups!D$10,IF(J190="S",I190*2,IF(AND(I190=0,K190&gt;0),K190,"ERROR"))))))))</f>
        <v>6000</v>
      </c>
      <c r="M190" s="103">
        <f>IF(OR(AND(L190=0,D190=0),K190&gt;0),"",IF(AND(E190="W",J190="W"),ROUND(L190-(D190*Lookups!$C$9),0),ROUND(+L190-H190,0)))</f>
        <v>600</v>
      </c>
      <c r="N190" s="84" t="str">
        <f t="shared" si="17"/>
        <v>I</v>
      </c>
      <c r="O190" s="111"/>
      <c r="P190" s="61" t="s">
        <v>560</v>
      </c>
      <c r="Q190" s="62" t="s">
        <v>561</v>
      </c>
      <c r="R190" s="62" t="s">
        <v>344</v>
      </c>
      <c r="S190" s="63" t="s">
        <v>323</v>
      </c>
      <c r="T190" s="64">
        <v>53406</v>
      </c>
    </row>
    <row r="191" spans="2:20" x14ac:dyDescent="0.35">
      <c r="B191" s="27" t="s">
        <v>209</v>
      </c>
      <c r="C191" s="4" t="s">
        <v>210</v>
      </c>
      <c r="D191" s="22">
        <v>75</v>
      </c>
      <c r="E191" s="25" t="s">
        <v>39</v>
      </c>
      <c r="F191" s="25">
        <v>750</v>
      </c>
      <c r="G191" s="13"/>
      <c r="H191" s="26">
        <f>IF(D191="",0,IF(G191&gt;0,0,IF(E191="A",D191,IF(E191="M",D191*12,IF(E191="W",D191*Lookups!C$9,IF(E191="B",D191*+Lookups!C$10,IF(E191="S",D191*2,IF(AND(D191=0,G191&gt;0),G191,"ERROR"))))))))</f>
        <v>900</v>
      </c>
      <c r="I191" s="22">
        <v>80</v>
      </c>
      <c r="J191" s="25" t="s">
        <v>39</v>
      </c>
      <c r="K191" s="13"/>
      <c r="L191" s="26">
        <f>IF(I191="",0,IF(K191&gt;0,0,IF(J191="A",I191,IF(J191="M",I191*12,IF(J191="W",I191*Lookups!D$9,IF(J191="B",I191*+Lookups!D$10,IF(J191="S",I191*2,IF(AND(I191=0,K191&gt;0),K191,"ERROR"))))))))</f>
        <v>960</v>
      </c>
      <c r="M191" s="103">
        <f>IF(OR(AND(L191=0,D191=0),K191&gt;0),"",IF(AND(E191="W",J191="W"),ROUND(L191-(D191*Lookups!$C$9),0),ROUND(+L191-H191,0)))</f>
        <v>60</v>
      </c>
      <c r="N191" s="84" t="str">
        <f t="shared" si="17"/>
        <v>I</v>
      </c>
      <c r="O191" s="97"/>
      <c r="P191" s="61" t="s">
        <v>418</v>
      </c>
      <c r="Q191" s="62" t="s">
        <v>419</v>
      </c>
      <c r="R191" s="62" t="s">
        <v>344</v>
      </c>
      <c r="S191" s="63" t="s">
        <v>323</v>
      </c>
      <c r="T191" s="64">
        <v>53405</v>
      </c>
    </row>
    <row r="192" spans="2:20" x14ac:dyDescent="0.35">
      <c r="B192" s="27" t="s">
        <v>290</v>
      </c>
      <c r="C192" s="4" t="s">
        <v>22</v>
      </c>
      <c r="D192" s="22"/>
      <c r="E192" s="25"/>
      <c r="F192" s="25">
        <v>55</v>
      </c>
      <c r="G192" s="13"/>
      <c r="H192" s="26">
        <f>IF(D192="",0,IF(G192&gt;0,0,IF(E192="A",D192,IF(E192="M",D192*12,IF(E192="W",D192*Lookups!C$9,IF(E192="B",D192*+Lookups!C$10,IF(E192="S",D192*2,IF(AND(D192=0,G192&gt;0),G192,"ERROR"))))))))</f>
        <v>0</v>
      </c>
      <c r="I192" s="22"/>
      <c r="J192" s="25"/>
      <c r="K192" s="13"/>
      <c r="L192" s="26">
        <f>IF(I192="",0,IF(K192&gt;0,0,IF(J192="A",I192,IF(J192="M",I192*12,IF(J192="W",I192*Lookups!D$9,IF(J192="B",I192*+Lookups!D$10,IF(J192="S",I192*2,IF(AND(I192=0,K192&gt;0),K192,"ERROR"))))))))</f>
        <v>0</v>
      </c>
      <c r="M192" s="103" t="str">
        <f>IF(OR(AND(L192=0,D192=0),K192&gt;0),"",IF(AND(E192="W",J192="W"),ROUND(L192-(D192*Lookups!$C$9),0),ROUND(+L192-H192,0)))</f>
        <v/>
      </c>
      <c r="N192" s="84" t="str">
        <f t="shared" si="17"/>
        <v/>
      </c>
      <c r="O192" s="97"/>
    </row>
    <row r="193" spans="1:20" x14ac:dyDescent="0.35">
      <c r="B193" s="24" t="s">
        <v>211</v>
      </c>
      <c r="C193" s="4" t="s">
        <v>212</v>
      </c>
      <c r="D193" s="22"/>
      <c r="E193" s="25"/>
      <c r="F193" s="25">
        <v>6960</v>
      </c>
      <c r="G193" s="13">
        <f>160*52</f>
        <v>8320</v>
      </c>
      <c r="H193" s="26">
        <f>IF(D193="",0,IF(G193&gt;0,0,IF(E193="A",D193,IF(E193="M",D193*12,IF(E193="W",D193*Lookups!C$9,IF(E193="B",D193*+Lookups!C$10,IF(E193="S",D193*2,IF(AND(D193=0,G193&gt;0),G193,"ERROR"))))))))</f>
        <v>0</v>
      </c>
      <c r="I193" s="22">
        <v>160</v>
      </c>
      <c r="J193" s="25" t="s">
        <v>38</v>
      </c>
      <c r="K193" s="13"/>
      <c r="L193" s="26">
        <f>IF(I193="",0,IF(K193&gt;0,0,IF(J193="A",I193,IF(J193="M",I193*12,IF(J193="W",I193*Lookups!D$9,IF(J193="B",I193*+Lookups!D$10,IF(J193="S",I193*2,IF(AND(I193=0,K193&gt;0),K193,"ERROR"))))))))</f>
        <v>8320</v>
      </c>
      <c r="M193" s="103">
        <f>IF(OR(AND(L193=0,D193=0),K193&gt;0),"",IF(AND(E193="W",J193="W"),ROUND(L193-(D193*Lookups!$C$9),0),ROUND(+L193-H193,0)))</f>
        <v>8320</v>
      </c>
      <c r="N193" s="84" t="str">
        <f t="shared" si="17"/>
        <v>N</v>
      </c>
      <c r="O193" s="97"/>
      <c r="Q193" s="67"/>
    </row>
    <row r="194" spans="1:20" x14ac:dyDescent="0.35">
      <c r="B194" s="27" t="s">
        <v>291</v>
      </c>
      <c r="C194" s="4" t="s">
        <v>292</v>
      </c>
      <c r="D194" s="22">
        <v>2100</v>
      </c>
      <c r="E194" s="25" t="s">
        <v>35</v>
      </c>
      <c r="F194" s="25">
        <v>1845</v>
      </c>
      <c r="G194" s="13"/>
      <c r="H194" s="26">
        <f>IF(D194="",0,IF(G194&gt;0,0,IF(E194="A",D194,IF(E194="M",D194*12,IF(E194="W",D194*Lookups!C$9,IF(E194="B",D194*+Lookups!C$10,IF(E194="S",D194*2,IF(AND(D194=0,G194&gt;0),G194,"ERROR"))))))))</f>
        <v>2100</v>
      </c>
      <c r="I194" s="22">
        <v>2200</v>
      </c>
      <c r="J194" s="25" t="s">
        <v>35</v>
      </c>
      <c r="K194" s="13"/>
      <c r="L194" s="26">
        <f>IF(I194="",0,IF(K194&gt;0,0,IF(J194="A",I194,IF(J194="M",I194*12,IF(J194="W",I194*Lookups!D$9,IF(J194="B",I194*+Lookups!D$10,IF(J194="S",I194*2,IF(AND(I194=0,K194&gt;0),K194,"ERROR"))))))))</f>
        <v>2200</v>
      </c>
      <c r="M194" s="103">
        <f>IF(OR(AND(L194=0,D194=0),K194&gt;0),"",IF(AND(E194="W",J194="W"),ROUND(L194-(D194*Lookups!$C$9),0),ROUND(+L194-H194,0)))</f>
        <v>100</v>
      </c>
      <c r="N194" s="84" t="str">
        <f t="shared" si="17"/>
        <v>I</v>
      </c>
      <c r="O194" s="97"/>
      <c r="P194" s="61" t="s">
        <v>420</v>
      </c>
    </row>
    <row r="195" spans="1:20" x14ac:dyDescent="0.35">
      <c r="B195" s="27"/>
      <c r="C195" s="4"/>
      <c r="D195" s="22"/>
      <c r="E195" s="25"/>
      <c r="F195" s="25"/>
      <c r="G195" s="25"/>
      <c r="H195" s="26">
        <f>IF(D195="",0,IF(G195&gt;0,0,IF(E195="A",D195,IF(E195="M",D195*12,IF(E195="W",D195*Lookups!C$9,IF(E195="B",D195*+Lookups!C$10,IF(E195="S",D195*2,IF(AND(D195=0,G195&gt;0),G195,"ERROR"))))))))</f>
        <v>0</v>
      </c>
      <c r="I195" s="22"/>
      <c r="J195" s="25"/>
      <c r="K195" s="25"/>
      <c r="L195" s="26">
        <f>IF(I195="",0,IF(K195&gt;0,0,IF(J195="A",I195,IF(J195="M",I195*12,IF(J195="W",I195*Lookups!D$9,IF(J195="B",I195*+Lookups!D$10,IF(J195="S",I195*2,IF(AND(I195=0,K195&gt;0),K195,"ERROR"))))))))</f>
        <v>0</v>
      </c>
      <c r="M195" s="103" t="str">
        <f>IF(OR(AND(L195=0,D195=0),K195&gt;0),"",IF(AND(E195="W",J195="W"),ROUND(L195-(D195*Lookups!$C$9),0),ROUND(+L195-H195,0)))</f>
        <v/>
      </c>
      <c r="N195" s="84" t="str">
        <f t="shared" si="17"/>
        <v/>
      </c>
      <c r="O195" s="97"/>
    </row>
    <row r="196" spans="1:20" ht="15" thickBot="1" x14ac:dyDescent="0.4">
      <c r="B196" s="23" t="s">
        <v>36</v>
      </c>
      <c r="C196" s="11"/>
      <c r="D196" s="23">
        <f>SUM(D4:D195)</f>
        <v>137695</v>
      </c>
      <c r="E196" s="10"/>
      <c r="F196" s="10">
        <f>SUM(F4:F195)</f>
        <v>374976.47</v>
      </c>
      <c r="G196" s="10">
        <f>SUM(G4:G195)</f>
        <v>65290</v>
      </c>
      <c r="H196" s="11">
        <f>SUM(H4:H195)</f>
        <v>322580</v>
      </c>
      <c r="I196" s="23">
        <f>SUM(I4:I195)</f>
        <v>183212.5</v>
      </c>
      <c r="J196" s="10"/>
      <c r="K196" s="10">
        <f>SUM(K4:K195)</f>
        <v>58550</v>
      </c>
      <c r="L196" s="11">
        <f>SUM(L4:L195)</f>
        <v>392766</v>
      </c>
      <c r="M196" s="23">
        <f>SUM(M4:M195)</f>
        <v>85286</v>
      </c>
      <c r="N196" s="11"/>
      <c r="O196" s="90"/>
      <c r="P196" s="108"/>
      <c r="Q196" s="108"/>
      <c r="R196" s="108"/>
      <c r="S196" s="109"/>
      <c r="T196" s="110"/>
    </row>
    <row r="197" spans="1:20" s="104" customFormat="1" x14ac:dyDescent="0.35">
      <c r="A197" s="114"/>
      <c r="B197" s="145"/>
      <c r="C197" s="145"/>
      <c r="D197" s="145"/>
      <c r="E197" s="145"/>
      <c r="F197" s="85">
        <v>374976</v>
      </c>
      <c r="G197" s="145"/>
      <c r="H197" s="85">
        <v>322580</v>
      </c>
      <c r="I197" s="145"/>
      <c r="J197" s="145"/>
      <c r="K197" s="145"/>
      <c r="L197" s="145"/>
      <c r="M197" s="145"/>
      <c r="N197" s="145"/>
      <c r="O197" s="145"/>
      <c r="P197" s="85"/>
      <c r="Q197" s="85"/>
      <c r="R197" s="85"/>
      <c r="S197" s="86"/>
      <c r="T197" s="87"/>
    </row>
    <row r="198" spans="1:20" x14ac:dyDescent="0.35">
      <c r="B198" s="1" t="s">
        <v>40</v>
      </c>
      <c r="L198" s="1">
        <f>396766+960-L196</f>
        <v>4960</v>
      </c>
      <c r="M198" s="104" t="s">
        <v>545</v>
      </c>
    </row>
    <row r="199" spans="1:20" x14ac:dyDescent="0.35">
      <c r="B199" s="1" t="str">
        <f>"**  S=Same, D= Decrease, I=Increase, N=New, E=Esimate does not pledge but gave in 2024"</f>
        <v>**  S=Same, D= Decrease, I=Increase, N=New, E=Esimate does not pledge but gave in 2024</v>
      </c>
    </row>
    <row r="200" spans="1:20" x14ac:dyDescent="0.35">
      <c r="L200" s="1">
        <f>396766+960</f>
        <v>397726</v>
      </c>
    </row>
  </sheetData>
  <autoFilter ref="A2:T199">
    <filterColumn colId="1" showButton="0"/>
    <filterColumn colId="3" showButton="0"/>
    <filterColumn colId="4" showButton="0"/>
    <filterColumn colId="5" hiddenButton="1" showButton="0"/>
    <filterColumn colId="6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6">
    <mergeCell ref="O2:T2"/>
    <mergeCell ref="B1:N1"/>
    <mergeCell ref="B2:C2"/>
    <mergeCell ref="M2:N2"/>
    <mergeCell ref="D2:H2"/>
    <mergeCell ref="I2:L2"/>
  </mergeCells>
  <hyperlinks>
    <hyperlink ref="P126" r:id="rId1"/>
    <hyperlink ref="P8" r:id="rId2"/>
    <hyperlink ref="P6" r:id="rId3"/>
    <hyperlink ref="P11" r:id="rId4"/>
    <hyperlink ref="P13" r:id="rId5"/>
    <hyperlink ref="P14" r:id="rId6"/>
    <hyperlink ref="P16" r:id="rId7"/>
    <hyperlink ref="P20" r:id="rId8"/>
    <hyperlink ref="P24" r:id="rId9"/>
    <hyperlink ref="P25" r:id="rId10"/>
    <hyperlink ref="P29" r:id="rId11"/>
    <hyperlink ref="P38" r:id="rId12"/>
    <hyperlink ref="P44" r:id="rId13"/>
    <hyperlink ref="P49" r:id="rId14"/>
    <hyperlink ref="P50" r:id="rId15"/>
    <hyperlink ref="P57" r:id="rId16"/>
    <hyperlink ref="P60" r:id="rId17" display="sandra.georgeson@yahoo.com"/>
    <hyperlink ref="P61" r:id="rId18"/>
    <hyperlink ref="P69" r:id="rId19"/>
    <hyperlink ref="P76" r:id="rId20"/>
    <hyperlink ref="P79" r:id="rId21" display="dubar@att.net"/>
    <hyperlink ref="P83" r:id="rId22"/>
    <hyperlink ref="P93" r:id="rId23" display="jkiemen1942@gmail.com"/>
    <hyperlink ref="P109" r:id="rId24"/>
    <hyperlink ref="P118" r:id="rId25"/>
    <hyperlink ref="P119" r:id="rId26"/>
    <hyperlink ref="P120" r:id="rId27"/>
    <hyperlink ref="P122" r:id="rId28"/>
    <hyperlink ref="P124" r:id="rId29"/>
    <hyperlink ref="P129" r:id="rId30"/>
    <hyperlink ref="P130" r:id="rId31"/>
    <hyperlink ref="P132" r:id="rId32"/>
    <hyperlink ref="P148" r:id="rId33"/>
    <hyperlink ref="P159" r:id="rId34"/>
    <hyperlink ref="P167" r:id="rId35"/>
    <hyperlink ref="P174" r:id="rId36"/>
    <hyperlink ref="P188" r:id="rId37"/>
    <hyperlink ref="P191" r:id="rId38"/>
    <hyperlink ref="P194" r:id="rId39"/>
    <hyperlink ref="P23" r:id="rId40"/>
    <hyperlink ref="P27" r:id="rId41"/>
    <hyperlink ref="P30" r:id="rId42"/>
    <hyperlink ref="P31" r:id="rId43"/>
    <hyperlink ref="P40" r:id="rId44"/>
    <hyperlink ref="P56" r:id="rId45"/>
    <hyperlink ref="P62" r:id="rId46"/>
    <hyperlink ref="P82" r:id="rId47"/>
    <hyperlink ref="P90" r:id="rId48"/>
    <hyperlink ref="P98" r:id="rId49"/>
    <hyperlink ref="P102" r:id="rId50"/>
    <hyperlink ref="P106" r:id="rId51"/>
    <hyperlink ref="P113" r:id="rId52"/>
    <hyperlink ref="P114" r:id="rId53"/>
    <hyperlink ref="P128" r:id="rId54"/>
    <hyperlink ref="P133" r:id="rId55"/>
    <hyperlink ref="P134" r:id="rId56"/>
    <hyperlink ref="P135" r:id="rId57"/>
    <hyperlink ref="P137" r:id="rId58"/>
    <hyperlink ref="P143" r:id="rId59"/>
    <hyperlink ref="P155" r:id="rId60"/>
    <hyperlink ref="P156" r:id="rId61"/>
    <hyperlink ref="P169" r:id="rId62"/>
    <hyperlink ref="P177" r:id="rId63"/>
    <hyperlink ref="P182" r:id="rId64"/>
    <hyperlink ref="P183" r:id="rId65"/>
    <hyperlink ref="P184" r:id="rId66"/>
    <hyperlink ref="P58" r:id="rId67"/>
    <hyperlink ref="P15" r:id="rId68"/>
    <hyperlink ref="P92" r:id="rId69"/>
    <hyperlink ref="P146" r:id="rId70"/>
    <hyperlink ref="P190" r:id="rId71"/>
    <hyperlink ref="P136" r:id="rId72"/>
    <hyperlink ref="P178" r:id="rId73"/>
    <hyperlink ref="P180" r:id="rId74"/>
    <hyperlink ref="P77" r:id="rId75"/>
    <hyperlink ref="P123" r:id="rId76"/>
  </hyperlinks>
  <pageMargins left="0.7" right="0.7" top="0.75" bottom="0.75" header="0.3" footer="0.3"/>
  <pageSetup scale="30" fitToHeight="0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topLeftCell="A15" workbookViewId="0">
      <selection activeCell="C38" sqref="C38"/>
    </sheetView>
  </sheetViews>
  <sheetFormatPr defaultRowHeight="14.5" x14ac:dyDescent="0.35"/>
  <cols>
    <col min="1" max="1" width="25.453125" customWidth="1"/>
    <col min="4" max="4" width="9.6328125" customWidth="1"/>
    <col min="6" max="6" width="9.7265625" customWidth="1"/>
    <col min="7" max="7" width="8.1796875" customWidth="1"/>
    <col min="8" max="8" width="10" customWidth="1"/>
    <col min="10" max="10" width="14.453125" customWidth="1"/>
  </cols>
  <sheetData>
    <row r="1" spans="1:10" ht="19" hidden="1" thickBot="1" x14ac:dyDescent="0.5">
      <c r="A1" s="121" t="s">
        <v>307</v>
      </c>
      <c r="B1" s="122"/>
      <c r="C1" s="122"/>
      <c r="D1" s="122"/>
      <c r="E1" s="17"/>
    </row>
    <row r="2" spans="1:10" ht="29.5" hidden="1" thickBot="1" x14ac:dyDescent="0.4">
      <c r="A2" s="2"/>
      <c r="B2" s="8" t="s">
        <v>50</v>
      </c>
      <c r="C2" s="8"/>
      <c r="D2" s="36" t="s">
        <v>49</v>
      </c>
      <c r="E2" s="37" t="s">
        <v>48</v>
      </c>
    </row>
    <row r="3" spans="1:10" ht="15" hidden="1" thickBot="1" x14ac:dyDescent="0.4">
      <c r="A3" s="14" t="s">
        <v>3</v>
      </c>
      <c r="B3" s="90"/>
      <c r="C3" s="90"/>
      <c r="D3" s="89"/>
      <c r="E3" s="91"/>
    </row>
    <row r="4" spans="1:10" ht="15" hidden="1" thickBot="1" x14ac:dyDescent="0.4">
      <c r="A4" s="14" t="s">
        <v>437</v>
      </c>
      <c r="B4" s="90"/>
      <c r="C4" s="90"/>
      <c r="D4" s="89" t="e">
        <f>+#REF!-#REF!</f>
        <v>#REF!</v>
      </c>
      <c r="E4" s="92" t="e">
        <f>+D4/#REF!</f>
        <v>#REF!</v>
      </c>
    </row>
    <row r="5" spans="1:10" ht="15" hidden="1" thickBot="1" x14ac:dyDescent="0.4">
      <c r="A5" s="5" t="s">
        <v>44</v>
      </c>
      <c r="B5" s="7"/>
      <c r="C5" s="7"/>
      <c r="D5" s="29"/>
      <c r="E5" s="6"/>
    </row>
    <row r="6" spans="1:10" ht="15" hidden="1" thickBot="1" x14ac:dyDescent="0.4">
      <c r="A6" s="2" t="s">
        <v>43</v>
      </c>
      <c r="B6" s="15" t="e">
        <f>+#REF!/#REF!</f>
        <v>#REF!</v>
      </c>
      <c r="C6" s="15"/>
      <c r="D6" s="30"/>
      <c r="E6" s="6"/>
    </row>
    <row r="7" spans="1:10" ht="15" hidden="1" thickBot="1" x14ac:dyDescent="0.4">
      <c r="A7" s="2" t="s">
        <v>47</v>
      </c>
      <c r="B7" s="15" t="e">
        <f>+#REF!/#REF!</f>
        <v>#REF!</v>
      </c>
      <c r="C7" s="15"/>
      <c r="D7" s="30"/>
      <c r="E7" s="6"/>
    </row>
    <row r="8" spans="1:10" ht="15" hidden="1" thickBot="1" x14ac:dyDescent="0.4">
      <c r="A8" s="14" t="s">
        <v>438</v>
      </c>
      <c r="B8" s="16" t="e">
        <f>+#REF!/#REF!</f>
        <v>#REF!</v>
      </c>
      <c r="C8" s="16"/>
      <c r="D8" s="33" t="e">
        <f>+#REF!-#REF!</f>
        <v>#REF!</v>
      </c>
      <c r="E8" s="93" t="e">
        <f>+D8/#REF!</f>
        <v>#REF!</v>
      </c>
    </row>
    <row r="9" spans="1:10" ht="15" hidden="1" thickBot="1" x14ac:dyDescent="0.4">
      <c r="A9" s="2" t="s">
        <v>45</v>
      </c>
      <c r="B9" s="7"/>
      <c r="C9" s="7"/>
      <c r="D9" s="30" t="e">
        <f>+#REF!-#REF!</f>
        <v>#REF!</v>
      </c>
      <c r="E9" s="42" t="e">
        <f>ROUND((+#REF!/#REF!),3)</f>
        <v>#REF!</v>
      </c>
    </row>
    <row r="10" spans="1:10" ht="15" hidden="1" thickBot="1" x14ac:dyDescent="0.4">
      <c r="A10" s="5" t="s">
        <v>439</v>
      </c>
      <c r="B10" s="3"/>
      <c r="C10" s="3"/>
      <c r="D10" s="30"/>
      <c r="E10" s="6"/>
    </row>
    <row r="11" spans="1:10" ht="15" hidden="1" thickBot="1" x14ac:dyDescent="0.4">
      <c r="A11" s="2" t="s">
        <v>43</v>
      </c>
      <c r="B11" s="15" t="e">
        <f>+#REF!/#REF!</f>
        <v>#REF!</v>
      </c>
      <c r="C11" s="15"/>
      <c r="D11" s="30"/>
      <c r="E11" s="6"/>
      <c r="F11" s="68"/>
      <c r="G11" s="68"/>
      <c r="H11" s="68"/>
    </row>
    <row r="12" spans="1:10" ht="15" hidden="1" thickBot="1" x14ac:dyDescent="0.4">
      <c r="A12" s="2" t="s">
        <v>427</v>
      </c>
      <c r="B12" s="15" t="e">
        <f>+#REF!/#REF!</f>
        <v>#REF!</v>
      </c>
      <c r="C12" s="15"/>
      <c r="D12" s="30"/>
      <c r="E12" s="6"/>
    </row>
    <row r="13" spans="1:10" ht="15" hidden="1" thickBot="1" x14ac:dyDescent="0.4">
      <c r="A13" s="9" t="s">
        <v>46</v>
      </c>
      <c r="B13" s="20" t="e">
        <f>+#REF!/#REF!</f>
        <v>#REF!</v>
      </c>
      <c r="C13" s="20"/>
      <c r="D13" s="32" t="e">
        <f>+#REF!-#REF!</f>
        <v>#REF!</v>
      </c>
      <c r="E13" s="21" t="e">
        <f>+D13/#REF!</f>
        <v>#REF!</v>
      </c>
    </row>
    <row r="14" spans="1:10" ht="15" hidden="1" thickBot="1" x14ac:dyDescent="0.4"/>
    <row r="15" spans="1:10" ht="18.5" x14ac:dyDescent="0.45">
      <c r="A15" s="137" t="s">
        <v>565</v>
      </c>
      <c r="B15" s="138"/>
      <c r="C15" s="138"/>
      <c r="D15" s="138"/>
      <c r="E15" s="138"/>
      <c r="F15" s="138"/>
      <c r="G15" s="138"/>
      <c r="H15" s="138"/>
      <c r="I15" s="138"/>
      <c r="J15" s="139"/>
    </row>
    <row r="16" spans="1:10" x14ac:dyDescent="0.35">
      <c r="A16" s="116"/>
      <c r="B16" s="12">
        <v>2024</v>
      </c>
      <c r="C16" s="12">
        <v>2025</v>
      </c>
      <c r="D16" s="12">
        <f>+C16</f>
        <v>2025</v>
      </c>
      <c r="E16" s="36" t="s">
        <v>431</v>
      </c>
      <c r="F16" s="140"/>
      <c r="G16" s="140"/>
      <c r="H16" s="140"/>
      <c r="I16" s="140"/>
      <c r="J16" s="141"/>
    </row>
    <row r="17" spans="1:10" x14ac:dyDescent="0.35">
      <c r="A17" s="116" t="s">
        <v>52</v>
      </c>
      <c r="B17" s="54">
        <v>39</v>
      </c>
      <c r="C17" s="18">
        <f>COUNTIF(Data!N$4:N195,"S")</f>
        <v>44</v>
      </c>
      <c r="D17" s="56">
        <f>SUMIF(Data!N$4:N$195,"S",Data!L$4:L$195)</f>
        <v>103328</v>
      </c>
      <c r="E17" s="88">
        <f>+D17/D$22</f>
        <v>0.22894823139441101</v>
      </c>
      <c r="F17" s="140" t="s">
        <v>599</v>
      </c>
      <c r="G17" s="140"/>
      <c r="H17" s="140"/>
      <c r="I17" s="140"/>
      <c r="J17" s="141"/>
    </row>
    <row r="18" spans="1:10" x14ac:dyDescent="0.35">
      <c r="A18" s="116" t="s">
        <v>53</v>
      </c>
      <c r="B18" s="54">
        <v>28</v>
      </c>
      <c r="C18" s="18">
        <f>COUNTIF(Data!N$4:N195,"I")</f>
        <v>38</v>
      </c>
      <c r="D18" s="56">
        <f>SUMIF(Data!N$4:N$195,"I",Data!L$4:L$195)</f>
        <v>228514</v>
      </c>
      <c r="E18" s="88">
        <f>+D18/D$22</f>
        <v>0.50632816031339456</v>
      </c>
      <c r="F18" s="140" t="str">
        <f>+"Increased pledge from 2024 (increase = $"&amp;ROUND(SUMIF(Data!N$4:N$195,"I",Data!M$4:M$195),0)&amp;")"</f>
        <v>Increased pledge from 2024 (increase = $44462)</v>
      </c>
      <c r="G18" s="140"/>
      <c r="H18" s="140"/>
      <c r="I18" s="140"/>
      <c r="J18" s="141"/>
    </row>
    <row r="19" spans="1:10" x14ac:dyDescent="0.35">
      <c r="A19" s="116" t="s">
        <v>55</v>
      </c>
      <c r="B19" s="54">
        <v>11</v>
      </c>
      <c r="C19" s="18">
        <f>COUNTIF(Data!N$4:N195,"D")</f>
        <v>8</v>
      </c>
      <c r="D19" s="56">
        <f>SUMIF(Data!N$4:N$195,"D",Data!L$4:L$195)</f>
        <v>7400</v>
      </c>
      <c r="E19" s="88">
        <f>+D19/D$22</f>
        <v>1.6396493809215717E-2</v>
      </c>
      <c r="F19" s="140" t="str">
        <f>+"Decreased pledge from 2024 (decrease = $"&amp;ABS(ROUND(SUMIF(Data!N$4:N195,"D",Data!M$4:M195),0))&amp;")"</f>
        <v>Decreased pledge from 2024 (decrease = $12700)</v>
      </c>
      <c r="G19" s="140"/>
      <c r="H19" s="140"/>
      <c r="I19" s="140"/>
      <c r="J19" s="141"/>
    </row>
    <row r="20" spans="1:10" x14ac:dyDescent="0.35">
      <c r="A20" s="116" t="s">
        <v>54</v>
      </c>
      <c r="B20" s="54">
        <v>23</v>
      </c>
      <c r="C20" s="18">
        <f>COUNTIF(Data!N$4:N195,"N")</f>
        <v>28</v>
      </c>
      <c r="D20" s="56">
        <f>SUMIF(Data!N$4:N$195,"N",Data!L$4:$L195)</f>
        <v>53524</v>
      </c>
      <c r="E20" s="88">
        <f>+D20/D$22</f>
        <v>0.11859539657357594</v>
      </c>
      <c r="F20" s="140" t="s">
        <v>600</v>
      </c>
      <c r="G20" s="140"/>
      <c r="H20" s="140"/>
      <c r="I20" s="140"/>
      <c r="J20" s="141"/>
    </row>
    <row r="21" spans="1:10" x14ac:dyDescent="0.35">
      <c r="A21" s="116" t="s">
        <v>428</v>
      </c>
      <c r="B21" s="25">
        <v>45</v>
      </c>
      <c r="C21" s="55">
        <f>COUNTIF(Data!N$4:N195,"X")+COUNTIF(Data!N$4:N195,"E")</f>
        <v>46</v>
      </c>
      <c r="D21" s="56">
        <f>+SUMIF(Data!N$4:N$195,"E",Data!K$4:K$195)</f>
        <v>58550</v>
      </c>
      <c r="E21" s="88">
        <f>+D21/D$22</f>
        <v>0.12973171790940272</v>
      </c>
      <c r="F21" s="140" t="s">
        <v>601</v>
      </c>
      <c r="G21" s="140"/>
      <c r="H21" s="140"/>
      <c r="I21" s="140"/>
      <c r="J21" s="141"/>
    </row>
    <row r="22" spans="1:10" x14ac:dyDescent="0.35">
      <c r="A22" s="117" t="s">
        <v>51</v>
      </c>
      <c r="B22" s="118">
        <f>SUM(B17:B21)</f>
        <v>146</v>
      </c>
      <c r="C22" s="118">
        <f>SUM(C17:C21)</f>
        <v>164</v>
      </c>
      <c r="D22" s="119">
        <f>SUM(D17:D21)</f>
        <v>451316</v>
      </c>
      <c r="E22" s="120">
        <f>SUM(E17:E21)</f>
        <v>1</v>
      </c>
      <c r="F22" s="142"/>
      <c r="G22" s="142"/>
      <c r="H22" s="142"/>
      <c r="I22" s="142"/>
      <c r="J22" s="143"/>
    </row>
    <row r="23" spans="1:10" ht="19" hidden="1" thickBot="1" x14ac:dyDescent="0.5">
      <c r="A23" s="134" t="s">
        <v>602</v>
      </c>
      <c r="B23" s="135"/>
      <c r="C23" s="135"/>
      <c r="D23" s="135"/>
      <c r="E23" s="136"/>
      <c r="F23" s="1"/>
      <c r="G23" s="1"/>
      <c r="I23" s="115"/>
    </row>
    <row r="24" spans="1:10" ht="43.5" hidden="1" x14ac:dyDescent="0.35">
      <c r="A24" s="2"/>
      <c r="B24" s="8" t="s">
        <v>42</v>
      </c>
      <c r="C24" s="12" t="s">
        <v>5</v>
      </c>
      <c r="D24" s="8" t="s">
        <v>50</v>
      </c>
      <c r="E24" s="18" t="s">
        <v>49</v>
      </c>
      <c r="F24" s="19" t="s">
        <v>48</v>
      </c>
      <c r="G24" s="1"/>
    </row>
    <row r="25" spans="1:10" hidden="1" x14ac:dyDescent="0.35">
      <c r="A25" s="112" t="str">
        <f>+A8</f>
        <v>Total 2023 Budget</v>
      </c>
      <c r="B25" s="58"/>
      <c r="C25" s="46" t="e">
        <f>+#REF!</f>
        <v>#REF!</v>
      </c>
      <c r="D25" s="47"/>
      <c r="E25" s="48"/>
      <c r="F25" s="49"/>
    </row>
    <row r="26" spans="1:10" hidden="1" x14ac:dyDescent="0.35">
      <c r="A26" s="41" t="s">
        <v>313</v>
      </c>
      <c r="B26" s="59"/>
      <c r="C26" s="43" t="e">
        <f>+C25-C28-C29-C30</f>
        <v>#REF!</v>
      </c>
      <c r="D26" s="38"/>
      <c r="E26" s="39"/>
      <c r="F26" s="40"/>
    </row>
    <row r="27" spans="1:10" hidden="1" x14ac:dyDescent="0.35">
      <c r="A27" s="50" t="s">
        <v>312</v>
      </c>
      <c r="B27" s="60" t="e">
        <f>+#REF!</f>
        <v>#REF!</v>
      </c>
      <c r="C27" s="51" t="e">
        <f>+#REF!</f>
        <v>#REF!</v>
      </c>
      <c r="D27" s="52"/>
      <c r="E27" s="51" t="e">
        <f>+C27-C26</f>
        <v>#REF!</v>
      </c>
      <c r="F27" s="53" t="e">
        <f>+E27/C26</f>
        <v>#REF!</v>
      </c>
    </row>
    <row r="28" spans="1:10" hidden="1" x14ac:dyDescent="0.35">
      <c r="A28" s="2" t="s">
        <v>308</v>
      </c>
      <c r="B28" s="18"/>
      <c r="C28" s="31">
        <v>31606</v>
      </c>
      <c r="D28" s="3"/>
      <c r="E28" s="3"/>
      <c r="F28" s="6"/>
    </row>
    <row r="29" spans="1:10" hidden="1" x14ac:dyDescent="0.35">
      <c r="A29" s="2" t="s">
        <v>309</v>
      </c>
      <c r="B29" s="18"/>
      <c r="C29" s="31">
        <v>37724</v>
      </c>
      <c r="D29" s="3"/>
      <c r="E29" s="3"/>
      <c r="F29" s="6"/>
    </row>
    <row r="30" spans="1:10" hidden="1" x14ac:dyDescent="0.35">
      <c r="A30" s="2" t="s">
        <v>310</v>
      </c>
      <c r="B30" s="18"/>
      <c r="C30" s="31">
        <v>35250</v>
      </c>
      <c r="D30" s="3"/>
      <c r="E30" s="3"/>
      <c r="F30" s="6"/>
    </row>
    <row r="31" spans="1:10" ht="15" hidden="1" thickBot="1" x14ac:dyDescent="0.4">
      <c r="A31" s="9" t="s">
        <v>564</v>
      </c>
      <c r="B31" s="57"/>
      <c r="C31" s="34" t="e">
        <f>+SUM(C27:C30)</f>
        <v>#REF!</v>
      </c>
      <c r="D31" s="28"/>
      <c r="E31" s="34" t="e">
        <f>+C31-C25</f>
        <v>#REF!</v>
      </c>
      <c r="F31" s="45" t="e">
        <f>+E31/C25</f>
        <v>#REF!</v>
      </c>
    </row>
    <row r="32" spans="1:10" hidden="1" x14ac:dyDescent="0.35"/>
  </sheetData>
  <mergeCells count="10">
    <mergeCell ref="A1:D1"/>
    <mergeCell ref="A23:E23"/>
    <mergeCell ref="A15:J15"/>
    <mergeCell ref="F17:J17"/>
    <mergeCell ref="F18:J18"/>
    <mergeCell ref="F20:J20"/>
    <mergeCell ref="F19:J19"/>
    <mergeCell ref="F21:J21"/>
    <mergeCell ref="F16:J16"/>
    <mergeCell ref="F22:J22"/>
  </mergeCells>
  <pageMargins left="0.2" right="0" top="0.5" bottom="0.5" header="0.3" footer="0.3"/>
  <pageSetup orientation="landscape" horizontalDpi="0" verticalDpi="0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8" sqref="B8:B10"/>
    </sheetView>
  </sheetViews>
  <sheetFormatPr defaultRowHeight="14.5" x14ac:dyDescent="0.35"/>
  <cols>
    <col min="1" max="2" width="10.81640625" customWidth="1"/>
  </cols>
  <sheetData>
    <row r="2" spans="1:4" x14ac:dyDescent="0.35">
      <c r="A2" t="s">
        <v>311</v>
      </c>
      <c r="C2" s="44">
        <v>9</v>
      </c>
    </row>
    <row r="3" spans="1:4" x14ac:dyDescent="0.35">
      <c r="A3" s="35" t="s">
        <v>41</v>
      </c>
      <c r="B3" s="35"/>
      <c r="C3">
        <f>+C2/12</f>
        <v>0.75</v>
      </c>
    </row>
    <row r="4" spans="1:4" x14ac:dyDescent="0.35">
      <c r="A4" s="35" t="s">
        <v>39</v>
      </c>
      <c r="B4" s="35"/>
      <c r="C4">
        <f>+C2/12</f>
        <v>0.75</v>
      </c>
    </row>
    <row r="5" spans="1:4" x14ac:dyDescent="0.35">
      <c r="A5" s="35" t="s">
        <v>38</v>
      </c>
      <c r="B5" s="35"/>
      <c r="C5">
        <f>+(13+13+13)/52</f>
        <v>0.75</v>
      </c>
    </row>
    <row r="8" spans="1:4" x14ac:dyDescent="0.35">
      <c r="B8">
        <v>2023</v>
      </c>
      <c r="C8">
        <v>2024</v>
      </c>
      <c r="D8">
        <v>2025</v>
      </c>
    </row>
    <row r="9" spans="1:4" x14ac:dyDescent="0.35">
      <c r="A9" t="s">
        <v>421</v>
      </c>
      <c r="B9" s="44">
        <v>53</v>
      </c>
      <c r="C9" s="44">
        <v>52</v>
      </c>
      <c r="D9" s="44">
        <v>52</v>
      </c>
    </row>
    <row r="10" spans="1:4" x14ac:dyDescent="0.35">
      <c r="A10" t="s">
        <v>422</v>
      </c>
      <c r="C10" s="44">
        <v>26</v>
      </c>
      <c r="D10" s="44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2024-11-26T22:18:25Z</cp:lastPrinted>
  <dcterms:created xsi:type="dcterms:W3CDTF">2022-09-28T19:27:14Z</dcterms:created>
  <dcterms:modified xsi:type="dcterms:W3CDTF">2024-11-26T22:18:26Z</dcterms:modified>
</cp:coreProperties>
</file>